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arahBar1\Desktop\Moving from Closed to Open  Board Aug\"/>
    </mc:Choice>
  </mc:AlternateContent>
  <xr:revisionPtr revIDLastSave="0" documentId="8_{B63E74A9-E067-4E88-802B-9CAD09B3DE71}" xr6:coauthVersionLast="47" xr6:coauthVersionMax="47" xr10:uidLastSave="{00000000-0000-0000-0000-000000000000}"/>
  <bookViews>
    <workbookView xWindow="14400" yWindow="-16320" windowWidth="29040" windowHeight="15840" xr2:uid="{1370AE43-F86C-4AA4-A440-D7EB7A3DFDEC}"/>
  </bookViews>
  <sheets>
    <sheet name="MCA" sheetId="2" r:id="rId1"/>
    <sheet name="MCA raw" sheetId="10" r:id="rId2"/>
    <sheet name="Dem Cap" sheetId="1" r:id="rId3"/>
    <sheet name="DM Comp" sheetId="3" r:id="rId4"/>
    <sheet name="NW xt" sheetId="11" r:id="rId5"/>
    <sheet name="Southern Isthmus" sheetId="4" r:id="rId6"/>
    <sheet name="2nd East" sheetId="5" r:id="rId7"/>
    <sheet name="North Shore" sheetId="7" r:id="rId8"/>
    <sheet name="Ormiston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9" i="2" l="1"/>
  <c r="AU26" i="2"/>
  <c r="AU27" i="2"/>
  <c r="AU28" i="2"/>
  <c r="AU35" i="2" s="1"/>
  <c r="AU29" i="2"/>
  <c r="AU30" i="2"/>
  <c r="AU31" i="2"/>
  <c r="AU32" i="2"/>
  <c r="AU33" i="2"/>
  <c r="AT33" i="2" l="1"/>
  <c r="L6" i="11" l="1"/>
  <c r="L5" i="11"/>
  <c r="L7" i="11"/>
  <c r="K7" i="11"/>
  <c r="G25" i="3"/>
  <c r="J3" i="3"/>
  <c r="AM25" i="2"/>
  <c r="AQ25" i="2"/>
  <c r="AQ26" i="2"/>
  <c r="AR26" i="2"/>
  <c r="AS26" i="2"/>
  <c r="AQ27" i="2"/>
  <c r="AR27" i="2"/>
  <c r="AS27" i="2"/>
  <c r="AQ28" i="2"/>
  <c r="AR28" i="2"/>
  <c r="AS28" i="2"/>
  <c r="AQ29" i="2"/>
  <c r="AR29" i="2"/>
  <c r="AS29" i="2"/>
  <c r="AQ30" i="2"/>
  <c r="AR30" i="2"/>
  <c r="AS30" i="2"/>
  <c r="AQ31" i="2"/>
  <c r="AQ35" i="2" s="1"/>
  <c r="AR31" i="2"/>
  <c r="AS31" i="2"/>
  <c r="AQ32" i="2"/>
  <c r="AR32" i="2"/>
  <c r="AS32" i="2"/>
  <c r="AQ33" i="2"/>
  <c r="AR33" i="2"/>
  <c r="AS33" i="2"/>
  <c r="AR35" i="2"/>
  <c r="AS35" i="2"/>
  <c r="G52" i="4"/>
  <c r="F52" i="4"/>
  <c r="G44" i="4"/>
  <c r="F44" i="4"/>
  <c r="G36" i="4"/>
  <c r="F36" i="4"/>
  <c r="K9" i="4"/>
  <c r="K17" i="4"/>
  <c r="K25" i="4"/>
  <c r="J25" i="4"/>
  <c r="J17" i="4"/>
  <c r="J9" i="4"/>
  <c r="G25" i="4"/>
  <c r="F25" i="4"/>
  <c r="G17" i="4"/>
  <c r="F17" i="4"/>
  <c r="G9" i="4"/>
  <c r="F9" i="4"/>
  <c r="C13" i="4"/>
  <c r="C27" i="4"/>
  <c r="B27" i="4"/>
  <c r="C27" i="11"/>
  <c r="C13" i="11"/>
  <c r="B13" i="11"/>
  <c r="B27" i="11"/>
  <c r="G25" i="11"/>
  <c r="F25" i="11"/>
  <c r="G17" i="11"/>
  <c r="F17" i="11"/>
  <c r="G9" i="11"/>
  <c r="F9" i="11"/>
  <c r="O7" i="4"/>
  <c r="O12" i="4"/>
  <c r="N7" i="4"/>
  <c r="N12" i="4"/>
  <c r="AT26" i="2"/>
  <c r="AT27" i="2"/>
  <c r="AT28" i="2"/>
  <c r="AT30" i="2"/>
  <c r="AT31" i="2"/>
  <c r="AT32" i="2"/>
  <c r="AT35" i="2"/>
  <c r="D27" i="2"/>
  <c r="D28" i="2"/>
  <c r="D29" i="2"/>
  <c r="D30" i="2"/>
  <c r="D31" i="2"/>
  <c r="D32" i="2"/>
  <c r="D33" i="2"/>
  <c r="D35" i="2"/>
  <c r="E27" i="2"/>
  <c r="E28" i="2"/>
  <c r="E29" i="2"/>
  <c r="E30" i="2"/>
  <c r="E31" i="2"/>
  <c r="E32" i="2"/>
  <c r="E33" i="2"/>
  <c r="E35" i="2"/>
  <c r="F27" i="2"/>
  <c r="F28" i="2"/>
  <c r="F29" i="2"/>
  <c r="F30" i="2"/>
  <c r="F31" i="2"/>
  <c r="F32" i="2"/>
  <c r="F33" i="2"/>
  <c r="F35" i="2"/>
  <c r="G27" i="2"/>
  <c r="G28" i="2"/>
  <c r="G29" i="2"/>
  <c r="G30" i="2"/>
  <c r="G31" i="2"/>
  <c r="G32" i="2"/>
  <c r="G33" i="2"/>
  <c r="G35" i="2"/>
  <c r="H27" i="2"/>
  <c r="H28" i="2"/>
  <c r="H29" i="2"/>
  <c r="H30" i="2"/>
  <c r="H31" i="2"/>
  <c r="H32" i="2"/>
  <c r="H33" i="2"/>
  <c r="H35" i="2"/>
  <c r="I27" i="2"/>
  <c r="I28" i="2"/>
  <c r="I29" i="2"/>
  <c r="I30" i="2"/>
  <c r="I31" i="2"/>
  <c r="I32" i="2"/>
  <c r="I33" i="2"/>
  <c r="I35" i="2"/>
  <c r="J27" i="2"/>
  <c r="J28" i="2"/>
  <c r="J29" i="2"/>
  <c r="J30" i="2"/>
  <c r="J31" i="2"/>
  <c r="J32" i="2"/>
  <c r="J33" i="2"/>
  <c r="J35" i="2"/>
  <c r="K27" i="2"/>
  <c r="K28" i="2"/>
  <c r="K29" i="2"/>
  <c r="K30" i="2"/>
  <c r="K35" i="2" s="1"/>
  <c r="K31" i="2"/>
  <c r="K32" i="2"/>
  <c r="K33" i="2"/>
  <c r="L27" i="2"/>
  <c r="L28" i="2"/>
  <c r="L29" i="2"/>
  <c r="L30" i="2"/>
  <c r="L31" i="2"/>
  <c r="L32" i="2"/>
  <c r="L33" i="2"/>
  <c r="L35" i="2"/>
  <c r="M27" i="2"/>
  <c r="M28" i="2"/>
  <c r="M29" i="2"/>
  <c r="M30" i="2"/>
  <c r="M31" i="2"/>
  <c r="M32" i="2"/>
  <c r="M33" i="2"/>
  <c r="M35" i="2"/>
  <c r="N27" i="2"/>
  <c r="N28" i="2"/>
  <c r="N29" i="2"/>
  <c r="N30" i="2"/>
  <c r="N31" i="2"/>
  <c r="N32" i="2"/>
  <c r="N35" i="2" s="1"/>
  <c r="N33" i="2"/>
  <c r="Q27" i="2"/>
  <c r="Q28" i="2"/>
  <c r="Q29" i="2"/>
  <c r="Q30" i="2"/>
  <c r="Q31" i="2"/>
  <c r="Q32" i="2"/>
  <c r="Q33" i="2"/>
  <c r="Q35" i="2"/>
  <c r="R27" i="2"/>
  <c r="R28" i="2"/>
  <c r="R29" i="2"/>
  <c r="R30" i="2"/>
  <c r="R31" i="2"/>
  <c r="R32" i="2"/>
  <c r="R33" i="2"/>
  <c r="R35" i="2"/>
  <c r="S27" i="2"/>
  <c r="S28" i="2"/>
  <c r="S29" i="2"/>
  <c r="S30" i="2"/>
  <c r="S31" i="2"/>
  <c r="S32" i="2"/>
  <c r="S33" i="2"/>
  <c r="S35" i="2"/>
  <c r="T27" i="2"/>
  <c r="T28" i="2"/>
  <c r="T29" i="2"/>
  <c r="T30" i="2"/>
  <c r="T31" i="2"/>
  <c r="T32" i="2"/>
  <c r="T33" i="2"/>
  <c r="T35" i="2"/>
  <c r="U27" i="2"/>
  <c r="U28" i="2"/>
  <c r="U29" i="2"/>
  <c r="U30" i="2"/>
  <c r="U31" i="2"/>
  <c r="U32" i="2"/>
  <c r="U33" i="2"/>
  <c r="U35" i="2"/>
  <c r="V27" i="2"/>
  <c r="V28" i="2"/>
  <c r="V29" i="2"/>
  <c r="V30" i="2"/>
  <c r="V31" i="2"/>
  <c r="V32" i="2"/>
  <c r="V33" i="2"/>
  <c r="V35" i="2"/>
  <c r="W27" i="2"/>
  <c r="W28" i="2"/>
  <c r="W29" i="2"/>
  <c r="W30" i="2"/>
  <c r="W31" i="2"/>
  <c r="W32" i="2"/>
  <c r="W33" i="2"/>
  <c r="W35" i="2"/>
  <c r="X27" i="2"/>
  <c r="X28" i="2"/>
  <c r="X29" i="2"/>
  <c r="X30" i="2"/>
  <c r="X31" i="2"/>
  <c r="X32" i="2"/>
  <c r="X33" i="2"/>
  <c r="X35" i="2"/>
  <c r="Y27" i="2"/>
  <c r="Y28" i="2"/>
  <c r="Y35" i="2" s="1"/>
  <c r="Y29" i="2"/>
  <c r="Y30" i="2"/>
  <c r="Y31" i="2"/>
  <c r="Y32" i="2"/>
  <c r="Y33" i="2"/>
  <c r="Z27" i="2"/>
  <c r="Z28" i="2"/>
  <c r="Z29" i="2"/>
  <c r="Z30" i="2"/>
  <c r="Z31" i="2"/>
  <c r="Z32" i="2"/>
  <c r="Z33" i="2"/>
  <c r="Z35" i="2"/>
  <c r="AA27" i="2"/>
  <c r="AA28" i="2"/>
  <c r="AA29" i="2"/>
  <c r="AA30" i="2"/>
  <c r="AA31" i="2"/>
  <c r="AA32" i="2"/>
  <c r="AA33" i="2"/>
  <c r="AA35" i="2"/>
  <c r="AB27" i="2"/>
  <c r="AB28" i="2"/>
  <c r="AB29" i="2"/>
  <c r="AB30" i="2"/>
  <c r="AB31" i="2"/>
  <c r="AB32" i="2"/>
  <c r="AB33" i="2"/>
  <c r="AB35" i="2"/>
  <c r="AC27" i="2"/>
  <c r="AC28" i="2"/>
  <c r="AC35" i="2" s="1"/>
  <c r="AC29" i="2"/>
  <c r="AC30" i="2"/>
  <c r="AC31" i="2"/>
  <c r="AC32" i="2"/>
  <c r="AC33" i="2"/>
  <c r="AF27" i="2"/>
  <c r="AF28" i="2"/>
  <c r="AF29" i="2"/>
  <c r="AF30" i="2"/>
  <c r="AF31" i="2"/>
  <c r="AF32" i="2"/>
  <c r="AF33" i="2"/>
  <c r="AF35" i="2"/>
  <c r="AG27" i="2"/>
  <c r="AG28" i="2"/>
  <c r="AG29" i="2"/>
  <c r="AG30" i="2"/>
  <c r="AG31" i="2"/>
  <c r="AG32" i="2"/>
  <c r="AG33" i="2"/>
  <c r="AG35" i="2"/>
  <c r="AJ27" i="2"/>
  <c r="AJ28" i="2"/>
  <c r="AJ29" i="2"/>
  <c r="AJ30" i="2"/>
  <c r="AJ31" i="2"/>
  <c r="AJ32" i="2"/>
  <c r="AJ33" i="2"/>
  <c r="AJ35" i="2"/>
  <c r="AK27" i="2"/>
  <c r="AK28" i="2"/>
  <c r="AK29" i="2"/>
  <c r="AK30" i="2"/>
  <c r="AK31" i="2"/>
  <c r="AK32" i="2"/>
  <c r="AK33" i="2"/>
  <c r="AK35" i="2"/>
  <c r="AL27" i="2"/>
  <c r="AL28" i="2"/>
  <c r="AL29" i="2"/>
  <c r="AL30" i="2"/>
  <c r="AL31" i="2"/>
  <c r="AL32" i="2"/>
  <c r="AL33" i="2"/>
  <c r="AL35" i="2"/>
  <c r="AH27" i="2"/>
  <c r="AH28" i="2"/>
  <c r="AH29" i="2"/>
  <c r="AH30" i="2"/>
  <c r="AH31" i="2"/>
  <c r="AH32" i="2"/>
  <c r="AH33" i="2"/>
  <c r="AH35" i="2"/>
  <c r="AI27" i="2"/>
  <c r="AI28" i="2"/>
  <c r="AI29" i="2"/>
  <c r="AI30" i="2"/>
  <c r="AI31" i="2"/>
  <c r="AI32" i="2"/>
  <c r="AI33" i="2"/>
  <c r="AI35" i="2"/>
  <c r="AM27" i="2"/>
  <c r="AM28" i="2"/>
  <c r="AM29" i="2"/>
  <c r="AM30" i="2"/>
  <c r="AM31" i="2"/>
  <c r="AM32" i="2"/>
  <c r="AM35" i="2" s="1"/>
  <c r="AM33" i="2"/>
  <c r="AN27" i="2"/>
  <c r="AN28" i="2"/>
  <c r="AN29" i="2"/>
  <c r="AN30" i="2"/>
  <c r="AN31" i="2"/>
  <c r="AN32" i="2"/>
  <c r="AN33" i="2"/>
  <c r="AN35" i="2"/>
  <c r="AO27" i="2"/>
  <c r="AO28" i="2"/>
  <c r="AO29" i="2"/>
  <c r="AO30" i="2"/>
  <c r="AO31" i="2"/>
  <c r="AO32" i="2"/>
  <c r="AO33" i="2"/>
  <c r="AO35" i="2"/>
  <c r="AP27" i="2"/>
  <c r="AP28" i="2"/>
  <c r="AP29" i="2"/>
  <c r="AP30" i="2"/>
  <c r="AP31" i="2"/>
  <c r="AP32" i="2"/>
  <c r="AP33" i="2"/>
  <c r="AP35" i="2"/>
  <c r="C27" i="2"/>
  <c r="C28" i="2"/>
  <c r="C29" i="2"/>
  <c r="C30" i="2"/>
  <c r="C31" i="2"/>
  <c r="C32" i="2"/>
  <c r="C33" i="2"/>
  <c r="C35" i="2"/>
  <c r="AP26" i="2"/>
  <c r="AO26" i="2"/>
  <c r="AN26" i="2"/>
  <c r="AM26" i="2"/>
  <c r="AI26" i="2"/>
  <c r="AH26" i="2"/>
  <c r="AL26" i="2"/>
  <c r="AK26" i="2"/>
  <c r="AJ26" i="2"/>
  <c r="AG26" i="2"/>
  <c r="AF26" i="2"/>
  <c r="AF25" i="2"/>
  <c r="G11" i="8"/>
  <c r="G13" i="8"/>
  <c r="F13" i="8"/>
  <c r="F11" i="8"/>
  <c r="C27" i="8"/>
  <c r="B27" i="8"/>
  <c r="C13" i="8"/>
  <c r="B13" i="8"/>
  <c r="AA26" i="2"/>
  <c r="AC26" i="2"/>
  <c r="G7" i="7"/>
  <c r="G6" i="7"/>
  <c r="G15" i="7"/>
  <c r="G14" i="7"/>
  <c r="G22" i="7"/>
  <c r="F23" i="7"/>
  <c r="F22" i="7"/>
  <c r="F15" i="7"/>
  <c r="F14" i="7"/>
  <c r="F6" i="7"/>
  <c r="G25" i="7"/>
  <c r="F25" i="7"/>
  <c r="G9" i="7"/>
  <c r="F9" i="7"/>
  <c r="F7" i="7"/>
  <c r="C27" i="7"/>
  <c r="B27" i="7"/>
  <c r="K21" i="7"/>
  <c r="J21" i="7"/>
  <c r="G17" i="7"/>
  <c r="F17" i="7"/>
  <c r="K13" i="7"/>
  <c r="J13" i="7"/>
  <c r="C13" i="7"/>
  <c r="B13" i="7"/>
  <c r="K21" i="5"/>
  <c r="J21" i="5"/>
  <c r="K13" i="5"/>
  <c r="J13" i="5"/>
  <c r="G12" i="5"/>
  <c r="F12" i="5"/>
  <c r="G20" i="5"/>
  <c r="F20" i="5"/>
  <c r="C27" i="5"/>
  <c r="B27" i="5"/>
  <c r="C13" i="5"/>
  <c r="B13" i="5"/>
  <c r="B13" i="4"/>
  <c r="J4" i="3"/>
  <c r="J5" i="3"/>
  <c r="J7" i="3"/>
  <c r="J8" i="3"/>
  <c r="J9" i="3"/>
  <c r="J10" i="3"/>
  <c r="J12" i="3"/>
  <c r="J13" i="3"/>
  <c r="J14" i="3"/>
  <c r="J15" i="3"/>
  <c r="J16" i="3"/>
  <c r="J17" i="3"/>
  <c r="J18" i="3"/>
  <c r="J19" i="3"/>
  <c r="J20" i="3"/>
  <c r="J22" i="3"/>
  <c r="D5" i="3"/>
  <c r="H27" i="3"/>
  <c r="G27" i="3"/>
  <c r="H26" i="3"/>
  <c r="G26" i="3"/>
  <c r="H22" i="3"/>
  <c r="G22" i="3"/>
  <c r="G20" i="3"/>
  <c r="H19" i="3"/>
  <c r="H25" i="3"/>
  <c r="G7" i="3"/>
  <c r="H3" i="3"/>
  <c r="G3" i="3"/>
  <c r="C27" i="3"/>
  <c r="B27" i="3"/>
  <c r="C26" i="3"/>
  <c r="B26" i="3"/>
  <c r="T32" i="1"/>
  <c r="T33" i="1"/>
  <c r="T34" i="1"/>
  <c r="T35" i="1"/>
  <c r="T36" i="1"/>
  <c r="T37" i="1"/>
  <c r="T38" i="1"/>
  <c r="T47" i="1"/>
  <c r="T39" i="1"/>
  <c r="T40" i="1"/>
  <c r="T41" i="1"/>
  <c r="T48" i="1"/>
  <c r="T42" i="1"/>
  <c r="T43" i="1"/>
  <c r="T44" i="1"/>
  <c r="K32" i="1"/>
  <c r="U32" i="1"/>
  <c r="V32" i="1"/>
  <c r="W32" i="1"/>
  <c r="K33" i="1"/>
  <c r="U33" i="1"/>
  <c r="V33" i="1"/>
  <c r="K34" i="1"/>
  <c r="U34" i="1"/>
  <c r="W34" i="1"/>
  <c r="K35" i="1"/>
  <c r="U35" i="1"/>
  <c r="V35" i="1"/>
  <c r="W35" i="1"/>
  <c r="K36" i="1"/>
  <c r="U36" i="1"/>
  <c r="V36" i="1"/>
  <c r="W36" i="1"/>
  <c r="K37" i="1"/>
  <c r="U37" i="1"/>
  <c r="V37" i="1"/>
  <c r="K38" i="1"/>
  <c r="U38" i="1"/>
  <c r="W38" i="1"/>
  <c r="V38" i="1"/>
  <c r="K47" i="1"/>
  <c r="U47" i="1"/>
  <c r="V47" i="1"/>
  <c r="W47" i="1"/>
  <c r="K39" i="1"/>
  <c r="U39" i="1"/>
  <c r="V39" i="1"/>
  <c r="W39" i="1"/>
  <c r="K40" i="1"/>
  <c r="U40" i="1"/>
  <c r="V40" i="1"/>
  <c r="K41" i="1"/>
  <c r="U41" i="1"/>
  <c r="W41" i="1"/>
  <c r="K48" i="1"/>
  <c r="U48" i="1"/>
  <c r="V48" i="1"/>
  <c r="W48" i="1"/>
  <c r="K42" i="1"/>
  <c r="U42" i="1"/>
  <c r="V42" i="1"/>
  <c r="W42" i="1"/>
  <c r="K43" i="1"/>
  <c r="U43" i="1"/>
  <c r="V43" i="1"/>
  <c r="K44" i="1"/>
  <c r="U44" i="1"/>
  <c r="W44" i="1"/>
  <c r="V44" i="1"/>
  <c r="V34" i="1"/>
  <c r="V41" i="1"/>
  <c r="W37" i="1"/>
  <c r="W43" i="1"/>
  <c r="W40" i="1"/>
  <c r="W33" i="1"/>
  <c r="K26" i="2"/>
  <c r="N39" i="1"/>
  <c r="O39" i="1"/>
  <c r="P39" i="1"/>
  <c r="Q39" i="1"/>
  <c r="R39" i="1"/>
  <c r="N40" i="1"/>
  <c r="O40" i="1"/>
  <c r="P40" i="1"/>
  <c r="Q40" i="1"/>
  <c r="R40" i="1"/>
  <c r="N41" i="1"/>
  <c r="O41" i="1"/>
  <c r="P41" i="1"/>
  <c r="Q41" i="1"/>
  <c r="R41" i="1"/>
  <c r="N48" i="1"/>
  <c r="O48" i="1"/>
  <c r="P48" i="1"/>
  <c r="Q48" i="1"/>
  <c r="R48" i="1"/>
  <c r="N42" i="1"/>
  <c r="O42" i="1"/>
  <c r="P42" i="1"/>
  <c r="Q42" i="1"/>
  <c r="R42" i="1"/>
  <c r="N43" i="1"/>
  <c r="O43" i="1"/>
  <c r="P43" i="1"/>
  <c r="Q43" i="1"/>
  <c r="R43" i="1"/>
  <c r="L32" i="1"/>
  <c r="L33" i="1"/>
  <c r="L34" i="1"/>
  <c r="L35" i="1"/>
  <c r="L36" i="1"/>
  <c r="L37" i="1"/>
  <c r="L38" i="1"/>
  <c r="L47" i="1"/>
  <c r="L39" i="1"/>
  <c r="L40" i="1"/>
  <c r="L41" i="1"/>
  <c r="L48" i="1"/>
  <c r="L42" i="1"/>
  <c r="L43" i="1"/>
  <c r="L44" i="1"/>
  <c r="T31" i="1"/>
  <c r="T5" i="1"/>
  <c r="T6" i="1"/>
  <c r="T7" i="1"/>
  <c r="T9" i="1"/>
  <c r="T10" i="1"/>
  <c r="T11" i="1"/>
  <c r="T12" i="1"/>
  <c r="T14" i="1"/>
  <c r="T15" i="1"/>
  <c r="T16" i="1"/>
  <c r="T17" i="1"/>
  <c r="T18" i="1"/>
  <c r="T19" i="1"/>
  <c r="T20" i="1"/>
  <c r="T21" i="1"/>
  <c r="T22" i="1"/>
  <c r="T24" i="1"/>
  <c r="Y5" i="1"/>
  <c r="Z5" i="1"/>
  <c r="AA5" i="1"/>
  <c r="AB5" i="1"/>
  <c r="AC5" i="1"/>
  <c r="Y6" i="1"/>
  <c r="Z6" i="1"/>
  <c r="AA6" i="1"/>
  <c r="AB6" i="1"/>
  <c r="AC6" i="1"/>
  <c r="Y7" i="1"/>
  <c r="Z7" i="1"/>
  <c r="AA7" i="1"/>
  <c r="AB7" i="1"/>
  <c r="AC7" i="1"/>
  <c r="Y8" i="1"/>
  <c r="Z8" i="1"/>
  <c r="AA8" i="1"/>
  <c r="AB8" i="1"/>
  <c r="AC8" i="1"/>
  <c r="Y9" i="1"/>
  <c r="Z9" i="1"/>
  <c r="AA9" i="1"/>
  <c r="AB9" i="1"/>
  <c r="AC9" i="1"/>
  <c r="Y10" i="1"/>
  <c r="Z10" i="1"/>
  <c r="AA10" i="1"/>
  <c r="AB10" i="1"/>
  <c r="AC10" i="1"/>
  <c r="Y11" i="1"/>
  <c r="Z11" i="1"/>
  <c r="AA11" i="1"/>
  <c r="AB11" i="1"/>
  <c r="AC11" i="1"/>
  <c r="Y12" i="1"/>
  <c r="Z12" i="1"/>
  <c r="AA12" i="1"/>
  <c r="AB12" i="1"/>
  <c r="AC12" i="1"/>
  <c r="Y13" i="1"/>
  <c r="Z13" i="1"/>
  <c r="AA13" i="1"/>
  <c r="AB13" i="1"/>
  <c r="AC13" i="1"/>
  <c r="Y14" i="1"/>
  <c r="Z14" i="1"/>
  <c r="AA14" i="1"/>
  <c r="AB14" i="1"/>
  <c r="AC14" i="1"/>
  <c r="Y15" i="1"/>
  <c r="Z15" i="1"/>
  <c r="AA15" i="1"/>
  <c r="AB15" i="1"/>
  <c r="AC15" i="1"/>
  <c r="Y16" i="1"/>
  <c r="Z16" i="1"/>
  <c r="AA16" i="1"/>
  <c r="AB16" i="1"/>
  <c r="AC16" i="1"/>
  <c r="Y17" i="1"/>
  <c r="Z17" i="1"/>
  <c r="AA17" i="1"/>
  <c r="AB17" i="1"/>
  <c r="AC17" i="1"/>
  <c r="Y18" i="1"/>
  <c r="Z18" i="1"/>
  <c r="AA18" i="1"/>
  <c r="AB18" i="1"/>
  <c r="AC18" i="1"/>
  <c r="Y19" i="1"/>
  <c r="Z19" i="1"/>
  <c r="AA19" i="1"/>
  <c r="AB19" i="1"/>
  <c r="AC19" i="1"/>
  <c r="Y20" i="1"/>
  <c r="Z20" i="1"/>
  <c r="AA20" i="1"/>
  <c r="AB20" i="1"/>
  <c r="AC20" i="1"/>
  <c r="Y21" i="1"/>
  <c r="Z21" i="1"/>
  <c r="AA21" i="1"/>
  <c r="AB21" i="1"/>
  <c r="AC21" i="1"/>
  <c r="Y22" i="1"/>
  <c r="Z22" i="1"/>
  <c r="AA22" i="1"/>
  <c r="AB22" i="1"/>
  <c r="AC22" i="1"/>
  <c r="Y23" i="1"/>
  <c r="Z23" i="1"/>
  <c r="AA23" i="1"/>
  <c r="AB23" i="1"/>
  <c r="AC23" i="1"/>
  <c r="Y24" i="1"/>
  <c r="Z24" i="1"/>
  <c r="AA24" i="1"/>
  <c r="AB24" i="1"/>
  <c r="AC24" i="1"/>
  <c r="AC4" i="1"/>
  <c r="AB4" i="1"/>
  <c r="AA4" i="1"/>
  <c r="Z4" i="1"/>
  <c r="Y4" i="1"/>
  <c r="Q26" i="2"/>
  <c r="R26" i="2"/>
  <c r="S26" i="2"/>
  <c r="T26" i="2"/>
  <c r="U26" i="2"/>
  <c r="V26" i="2"/>
  <c r="W26" i="2"/>
  <c r="X26" i="2"/>
  <c r="Y26" i="2"/>
  <c r="Z26" i="2"/>
  <c r="AB26" i="2"/>
  <c r="C29" i="1"/>
  <c r="D29" i="1"/>
  <c r="E29" i="1"/>
  <c r="F29" i="1"/>
  <c r="G29" i="1"/>
  <c r="H29" i="1"/>
  <c r="I29" i="1"/>
  <c r="B29" i="1"/>
  <c r="C28" i="1"/>
  <c r="D28" i="1"/>
  <c r="E28" i="1"/>
  <c r="F28" i="1"/>
  <c r="G28" i="1"/>
  <c r="H28" i="1"/>
  <c r="I28" i="1"/>
  <c r="B28" i="1"/>
  <c r="N27" i="1"/>
  <c r="O27" i="1"/>
  <c r="P27" i="1"/>
  <c r="Q27" i="1"/>
  <c r="R27" i="1"/>
  <c r="N28" i="1"/>
  <c r="O28" i="1"/>
  <c r="P28" i="1"/>
  <c r="Q28" i="1"/>
  <c r="R28" i="1"/>
  <c r="N29" i="1"/>
  <c r="O29" i="1"/>
  <c r="P29" i="1"/>
  <c r="Q29" i="1"/>
  <c r="R29" i="1"/>
  <c r="G27" i="1"/>
  <c r="H27" i="1"/>
  <c r="I27" i="1"/>
  <c r="E27" i="1"/>
  <c r="N46" i="1"/>
  <c r="O46" i="1"/>
  <c r="P46" i="1"/>
  <c r="Q46" i="1"/>
  <c r="R46" i="1"/>
  <c r="N30" i="1"/>
  <c r="O30" i="1"/>
  <c r="P30" i="1"/>
  <c r="Q30" i="1"/>
  <c r="R30" i="1"/>
  <c r="D18" i="2"/>
  <c r="E18" i="2"/>
  <c r="F18" i="2"/>
  <c r="G18" i="2"/>
  <c r="H18" i="2"/>
  <c r="I18" i="2"/>
  <c r="J18" i="2"/>
  <c r="K18" i="2"/>
  <c r="L18" i="2"/>
  <c r="M18" i="2"/>
  <c r="N18" i="2"/>
  <c r="C18" i="2"/>
  <c r="F25" i="2"/>
  <c r="J25" i="2"/>
  <c r="C25" i="2"/>
  <c r="D26" i="2"/>
  <c r="E26" i="2"/>
  <c r="F26" i="2"/>
  <c r="G26" i="2"/>
  <c r="H26" i="2"/>
  <c r="I26" i="2"/>
  <c r="J26" i="2"/>
  <c r="L26" i="2"/>
  <c r="M26" i="2"/>
  <c r="N26" i="2"/>
  <c r="C26" i="2"/>
  <c r="E9" i="1"/>
  <c r="K12" i="1"/>
  <c r="F21" i="1"/>
  <c r="F27" i="1"/>
  <c r="N23" i="1"/>
  <c r="O23" i="1"/>
  <c r="P23" i="1"/>
  <c r="Q23" i="1"/>
  <c r="R23" i="1"/>
  <c r="N4" i="1"/>
  <c r="O4" i="1"/>
  <c r="P4" i="1"/>
  <c r="Q4" i="1"/>
  <c r="R4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1" i="1"/>
  <c r="O11" i="1"/>
  <c r="P11" i="1"/>
  <c r="Q11" i="1"/>
  <c r="R11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7" i="1"/>
  <c r="O17" i="1"/>
  <c r="P17" i="1"/>
  <c r="Q17" i="1"/>
  <c r="R17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K11" i="1"/>
  <c r="U11" i="1"/>
  <c r="H10" i="1"/>
  <c r="K10" i="1"/>
  <c r="U10" i="1"/>
  <c r="H9" i="1"/>
  <c r="K9" i="1"/>
  <c r="U9" i="1"/>
  <c r="W11" i="1"/>
  <c r="V11" i="1"/>
  <c r="V9" i="1"/>
  <c r="W9" i="1"/>
  <c r="W10" i="1"/>
  <c r="V10" i="1"/>
  <c r="H24" i="1"/>
  <c r="H5" i="1"/>
  <c r="N24" i="1"/>
  <c r="O24" i="1"/>
  <c r="P24" i="1"/>
  <c r="Q24" i="1"/>
  <c r="R24" i="1"/>
  <c r="F24" i="1"/>
  <c r="L24" i="1"/>
  <c r="E24" i="1"/>
  <c r="K24" i="1"/>
  <c r="U24" i="1"/>
  <c r="W24" i="1"/>
  <c r="V24" i="1"/>
  <c r="L31" i="1"/>
  <c r="K31" i="1"/>
  <c r="U31" i="1"/>
  <c r="V31" i="1"/>
  <c r="E5" i="1"/>
  <c r="K5" i="1"/>
  <c r="F5" i="1"/>
  <c r="L5" i="1"/>
  <c r="L6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6" i="1"/>
  <c r="O36" i="1"/>
  <c r="P36" i="1"/>
  <c r="Q36" i="1"/>
  <c r="R36" i="1"/>
  <c r="N34" i="1"/>
  <c r="O34" i="1"/>
  <c r="P34" i="1"/>
  <c r="Q34" i="1"/>
  <c r="R34" i="1"/>
  <c r="N35" i="1"/>
  <c r="O35" i="1"/>
  <c r="P35" i="1"/>
  <c r="Q35" i="1"/>
  <c r="R35" i="1"/>
  <c r="N37" i="1"/>
  <c r="O37" i="1"/>
  <c r="P37" i="1"/>
  <c r="Q37" i="1"/>
  <c r="R37" i="1"/>
  <c r="N38" i="1"/>
  <c r="O38" i="1"/>
  <c r="P38" i="1"/>
  <c r="Q38" i="1"/>
  <c r="R38" i="1"/>
  <c r="N47" i="1"/>
  <c r="O47" i="1"/>
  <c r="P47" i="1"/>
  <c r="Q47" i="1"/>
  <c r="R47" i="1"/>
  <c r="O5" i="1"/>
  <c r="O6" i="1"/>
  <c r="O7" i="1"/>
  <c r="O44" i="1"/>
  <c r="N44" i="1"/>
  <c r="P44" i="1"/>
  <c r="Q44" i="1"/>
  <c r="R44" i="1"/>
  <c r="N6" i="1"/>
  <c r="P6" i="1"/>
  <c r="Q6" i="1"/>
  <c r="R6" i="1"/>
  <c r="N7" i="1"/>
  <c r="P7" i="1"/>
  <c r="Q7" i="1"/>
  <c r="R7" i="1"/>
  <c r="L21" i="1"/>
  <c r="L27" i="1"/>
  <c r="K20" i="1"/>
  <c r="U20" i="1"/>
  <c r="V20" i="1"/>
  <c r="L20" i="1"/>
  <c r="K21" i="1"/>
  <c r="L22" i="1"/>
  <c r="R5" i="1"/>
  <c r="Q5" i="1"/>
  <c r="P5" i="1"/>
  <c r="N5" i="1"/>
  <c r="K6" i="1"/>
  <c r="U6" i="1"/>
  <c r="V6" i="1"/>
  <c r="K7" i="1"/>
  <c r="U7" i="1"/>
  <c r="V7" i="1"/>
  <c r="L7" i="1"/>
  <c r="K14" i="1"/>
  <c r="U14" i="1"/>
  <c r="W14" i="1"/>
  <c r="K15" i="1"/>
  <c r="L15" i="1"/>
  <c r="L29" i="1"/>
  <c r="K16" i="1"/>
  <c r="U16" i="1"/>
  <c r="V16" i="1"/>
  <c r="L16" i="1"/>
  <c r="K17" i="1"/>
  <c r="U17" i="1"/>
  <c r="W17" i="1"/>
  <c r="L17" i="1"/>
  <c r="K18" i="1"/>
  <c r="L18" i="1"/>
  <c r="L28" i="1"/>
  <c r="K19" i="1"/>
  <c r="U19" i="1"/>
  <c r="W19" i="1"/>
  <c r="L19" i="1"/>
  <c r="U12" i="1"/>
  <c r="W12" i="1"/>
  <c r="E22" i="1"/>
  <c r="K22" i="1"/>
  <c r="U22" i="1"/>
  <c r="W22" i="1"/>
  <c r="U5" i="1"/>
  <c r="W5" i="1"/>
  <c r="U15" i="1"/>
  <c r="W15" i="1"/>
  <c r="K29" i="1"/>
  <c r="U18" i="1"/>
  <c r="V18" i="1"/>
  <c r="K28" i="1"/>
  <c r="U21" i="1"/>
  <c r="W21" i="1"/>
  <c r="K27" i="1"/>
  <c r="W6" i="1"/>
  <c r="W16" i="1"/>
  <c r="V12" i="1"/>
  <c r="W7" i="1"/>
  <c r="V14" i="1"/>
  <c r="W18" i="1"/>
  <c r="W20" i="1"/>
  <c r="V22" i="1"/>
  <c r="V5" i="1"/>
  <c r="V17" i="1"/>
  <c r="V19" i="1"/>
  <c r="W31" i="1"/>
  <c r="V21" i="1"/>
  <c r="V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tc={5FBB9C9F-373D-465A-8E15-E30EEFC4AA10}</author>
    <author>tc={1C93294A-CCA9-4ED6-B0C9-ED23806FBF89}</author>
    <author>tc={2CCE6032-10C4-42E8-9BA5-9EAD908C00A5}</author>
    <author>tc={DFEE392D-0DE7-4F2D-8F27-8460BF005965}</author>
    <author>tc={2A8F7072-CCEF-4960-AEE8-2DC24CFADB41}</author>
    <author>tc={F1A73CF8-AD9F-451A-A20C-AA11F340605A}</author>
    <author>tc={09DE1F4D-6A17-451E-8C59-34ED29624012}</author>
    <author>tc={6DFF9117-D505-4E77-ABB5-918FCEECF5CF}</author>
  </authors>
  <commentList>
    <comment ref="C2" authorId="0" shapeId="0" xr:uid="{5FBB9C9F-373D-465A-8E15-E30EEFC4AA10}">
      <text>
        <t>[Threaded comment]
Your version of Excel allows you to read this threaded comment; however, any edits to it will get removed if the file is opened in a newer version of Excel. Learn more: https://go.microsoft.com/fwlink/?linkid=870924
Comment:
    (-Onewa)
Reply:
    Considering not sure about RTN + Busway mix, this assesses them as one corridor</t>
      </text>
    </comment>
    <comment ref="G2" authorId="1" shapeId="0" xr:uid="{1C93294A-CCA9-4ED6-B0C9-ED23806FBF89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southern line services via eastern line</t>
      </text>
    </comment>
    <comment ref="A3" authorId="2" shapeId="0" xr:uid="{2CCE6032-10C4-42E8-9BA5-9EAD908C00A5}">
      <text>
        <t>[Threaded comment]
Your version of Excel allows you to read this threaded comment; however, any edits to it will get removed if the file is opened in a newer version of Excel. Learn more: https://go.microsoft.com/fwlink/?linkid=870924
Comment:
    6 measures which areas - should this one remeasure?</t>
      </text>
    </comment>
    <comment ref="F5" authorId="3" shapeId="0" xr:uid="{DFEE392D-0DE7-4F2D-8F27-8460BF005965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STH services on western line approach</t>
      </text>
    </comment>
    <comment ref="C26" authorId="4" shapeId="0" xr:uid="{2A8F7072-CCEF-4960-AEE8-2DC24CFADB41}">
      <text>
        <t>[Threaded comment]
Your version of Excel allows you to read this threaded comment; however, any edits to it will get removed if the file is opened in a newer version of Excel. Learn more: https://go.microsoft.com/fwlink/?linkid=870924
Comment:
    (-Onewa)</t>
      </text>
    </comment>
    <comment ref="G26" authorId="5" shapeId="0" xr:uid="{F1A73CF8-AD9F-451A-A20C-AA11F340605A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southern line services via eastern line</t>
      </text>
    </comment>
    <comment ref="AF26" authorId="6" shapeId="0" xr:uid="{09DE1F4D-6A17-451E-8C59-34ED29624012}">
      <text>
        <t>[Threaded comment]
Your version of Excel allows you to read this threaded comment; however, any edits to it will get removed if the file is opened in a newer version of Excel. Learn more: https://go.microsoft.com/fwlink/?linkid=870924
Comment:
    (-Onewa)</t>
      </text>
    </comment>
    <comment ref="AL26" authorId="7" shapeId="0" xr:uid="{6DFF9117-D505-4E77-ABB5-918FCEECF5CF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southern line services via eastern line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tc={F45722FD-F094-41AF-AEAB-006F4930CB0A}</author>
    <author>tc={AC7EB698-0236-414F-B45F-7CCD15457B32}</author>
    <author>tc={215B85F9-FF59-4AA8-A957-BBA65240BC5D}</author>
    <author>tc={1AD4B1AF-8A6F-4676-A524-BB52C97EF8F5}</author>
    <author>tc={98425110-A88C-4911-AAAF-CF83F91BB65E}</author>
    <author>tc={58D18E3C-3C32-4B1D-B34A-07CFB20D421F}</author>
    <author>tc={FAD1BC03-7A3A-4DDB-824A-4A3E1CB583B6}</author>
    <author>tc={3B696928-671E-452A-B585-F52043CB982F}</author>
  </authors>
  <commentList>
    <comment ref="A9" authorId="0" shapeId="0" xr:uid="{F45722FD-F094-41AF-AEAB-006F4930CB0A}">
      <text>
        <t>[Threaded comment]
Your version of Excel allows you to read this threaded comment; however, any edits to it will get removed if the file is opened in a newer version of Excel. Learn more: https://go.microsoft.com/fwlink/?linkid=870924
Comment:
    +1,600 from Manukau
+17,200 from South of Puhinui
+(19,700 - 12,600=7,100) from Eastern Section</t>
      </text>
    </comment>
    <comment ref="E14" authorId="1" shapeId="0" xr:uid="{AC7EB698-0236-414F-B45F-7CCD15457B32}">
      <text>
        <t>[Threaded comment]
Your version of Excel allows you to read this threaded comment; however, any edits to it will get removed if the file is opened in a newer version of Excel. Learn more: https://go.microsoft.com/fwlink/?linkid=870924
Comment:
    66</t>
      </text>
    </comment>
    <comment ref="B33" authorId="2" shapeId="0" xr:uid="{215B85F9-FF59-4AA8-A957-BBA65240BC5D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AB33" authorId="3" shapeId="0" xr:uid="{1AD4B1AF-8A6F-4676-A524-BB52C97EF8F5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AC33" authorId="4" shapeId="0" xr:uid="{98425110-A88C-4911-AAAF-CF83F91BB65E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AD33" authorId="5" shapeId="0" xr:uid="{58D18E3C-3C32-4B1D-B34A-07CFB20D421F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B34" authorId="6" shapeId="0" xr:uid="{FAD1BC03-7A3A-4DDB-824A-4A3E1CB583B6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B35" authorId="7" shapeId="0" xr:uid="{3B696928-671E-452A-B585-F52043CB982F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tc={E8014136-47C3-4A4D-8923-BA84EFF7AB4E}</author>
    <author>tc={48FDDFC2-FFCC-4D35-A044-2832C6EA66B5}</author>
    <author>tc={45DCBE81-1994-48D5-BE58-DFFF62364270}</author>
    <author>tc={75D5A310-04F0-462D-8FE2-A997AF4F36A4}</author>
    <author>tc={EFB23479-CA8B-4233-AE4B-E5BA9BFF1F9E}</author>
    <author>tc={167807DF-72CC-425D-A61C-78EAC31B5393}</author>
    <author>tc={BFF2A581-6047-40A4-9200-574A031639BA}</author>
  </authors>
  <commentList>
    <comment ref="A7" authorId="0" shapeId="0" xr:uid="{E8014136-47C3-4A4D-8923-BA84EFF7AB4E}">
      <text>
        <t>[Threaded comment]
Your version of Excel allows you to read this threaded comment; however, any edits to it will get removed if the file is opened in a newer version of Excel. Learn more: https://go.microsoft.com/fwlink/?linkid=870924
Comment:
    +1,600 from Manukau
+17,200 from South of Puhinui
+(19,700 - 12,600=7,100) from Eastern Section</t>
      </text>
    </comment>
    <comment ref="D12" authorId="1" shapeId="0" xr:uid="{48FDDFC2-FFCC-4D35-A044-2832C6EA66B5}">
      <text>
        <t>[Threaded comment]
Your version of Excel allows you to read this threaded comment; however, any edits to it will get removed if the file is opened in a newer version of Excel. Learn more: https://go.microsoft.com/fwlink/?linkid=870924
Comment:
    66</t>
      </text>
    </comment>
    <comment ref="G12" authorId="2" shapeId="0" xr:uid="{45DCBE81-1994-48D5-BE58-DFFF62364270}">
      <text>
        <t>[Threaded comment]
Your version of Excel allows you to read this threaded comment; however, any edits to it will get removed if the file is opened in a newer version of Excel. Learn more: https://go.microsoft.com/fwlink/?linkid=870924
Comment:
    66</t>
      </text>
    </comment>
    <comment ref="J12" authorId="3" shapeId="0" xr:uid="{75D5A310-04F0-462D-8FE2-A997AF4F36A4}">
      <text>
        <t>[Threaded comment]
Your version of Excel allows you to read this threaded comment; however, any edits to it will get removed if the file is opened in a newer version of Excel. Learn more: https://go.microsoft.com/fwlink/?linkid=870924
Comment:
    66</t>
      </text>
    </comment>
    <comment ref="B31" authorId="4" shapeId="0" xr:uid="{EFB23479-CA8B-4233-AE4B-E5BA9BFF1F9E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B32" authorId="5" shapeId="0" xr:uid="{167807DF-72CC-425D-A61C-78EAC31B5393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  <comment ref="B33" authorId="6" shapeId="0" xr:uid="{BFF2A581-6047-40A4-9200-574A031639BA}">
      <text>
        <t>[Threaded comment]
Your version of Excel allows you to read this threaded comment; however, any edits to it will get removed if the file is opened in a newer version of Excel. Learn more: https://go.microsoft.com/fwlink/?linkid=870924
Comment:
    (-Newmarket)</t>
      </text>
    </comment>
  </commentList>
</comments>
</file>

<file path=xl/sharedStrings.xml><?xml version="1.0" encoding="utf-8"?>
<sst xmlns="http://schemas.openxmlformats.org/spreadsheetml/2006/main" count="1150" uniqueCount="389">
  <si>
    <t>Corridor Demands</t>
  </si>
  <si>
    <t>PT Mode Capacities</t>
  </si>
  <si>
    <t xml:space="preserve"> Peak Direction</t>
  </si>
  <si>
    <t>Peak Other Direction</t>
  </si>
  <si>
    <t>Buses</t>
  </si>
  <si>
    <t>ATAP Corridors</t>
  </si>
  <si>
    <t>Corridor Location</t>
  </si>
  <si>
    <t>Zone-Zone</t>
  </si>
  <si>
    <t>PT</t>
  </si>
  <si>
    <t>Car</t>
  </si>
  <si>
    <t>PT Demand (1hr)</t>
  </si>
  <si>
    <t>Car Demand (1hr)</t>
  </si>
  <si>
    <t>Bus Lanes</t>
  </si>
  <si>
    <t>Busway</t>
  </si>
  <si>
    <t>On Street Rail</t>
  </si>
  <si>
    <t>Grade Sep Rail</t>
  </si>
  <si>
    <t>Heavy Rail</t>
  </si>
  <si>
    <t>Vol (SD)</t>
  </si>
  <si>
    <t>VOL (DD)</t>
  </si>
  <si>
    <t>Big 3</t>
  </si>
  <si>
    <t>North Shore (-Onewa)</t>
  </si>
  <si>
    <t>North of Onewa Interchange</t>
  </si>
  <si>
    <t>North Auckland (-Beachhaven_Northcote) to South (-West)</t>
  </si>
  <si>
    <t>Isthmus</t>
  </si>
  <si>
    <t>LRT at combination with NW</t>
  </si>
  <si>
    <t>Total of (CC, Wesley, Mt Roskill, Mangere, Onehunga, Airport)</t>
  </si>
  <si>
    <t>Northwest</t>
  </si>
  <si>
    <t>Upper West - CC</t>
  </si>
  <si>
    <t>Existing Rail</t>
  </si>
  <si>
    <t>STH</t>
  </si>
  <si>
    <t>Cross-harbour</t>
  </si>
  <si>
    <t>North Auckland to South (-West)</t>
  </si>
  <si>
    <t>-</t>
  </si>
  <si>
    <t>EAST</t>
  </si>
  <si>
    <t>WEST</t>
  </si>
  <si>
    <t>Onehunga Spur</t>
  </si>
  <si>
    <t>Other ATAP</t>
  </si>
  <si>
    <t>Crosstown</t>
  </si>
  <si>
    <t>Total of (New Lynn, Southern Isthmus, Onehunga, Penrose Industrial)</t>
  </si>
  <si>
    <t>?</t>
  </si>
  <si>
    <t>UH: Constellation</t>
  </si>
  <si>
    <t>West - North Auckland</t>
  </si>
  <si>
    <t>UH: Henderson</t>
  </si>
  <si>
    <t>S of Triangle Rd</t>
  </si>
  <si>
    <t>Between (Henderson - Upper West) and (Lower West + Western Isthmus + New Lynn - Upper West)</t>
  </si>
  <si>
    <t>A2B: SH20B</t>
  </si>
  <si>
    <t>A2B: Te Irirangi</t>
  </si>
  <si>
    <t>AMETI: Botany</t>
  </si>
  <si>
    <t>AMETI: Howick</t>
  </si>
  <si>
    <t>AMETI: Total</t>
  </si>
  <si>
    <t>AMETI: Ellerslie</t>
  </si>
  <si>
    <t>Between (East Auckland - Ellerslie) and (East Auckland - Ellerslie + CC)?</t>
  </si>
  <si>
    <t>North Shore (+Onewa)</t>
  </si>
  <si>
    <t>Additional Corridors</t>
  </si>
  <si>
    <t>Potential Additional</t>
  </si>
  <si>
    <t>Sandringham</t>
  </si>
  <si>
    <t>Upper Symonds</t>
  </si>
  <si>
    <t>Mt Eden</t>
  </si>
  <si>
    <t>Manukau</t>
  </si>
  <si>
    <t>Market Road</t>
  </si>
  <si>
    <t xml:space="preserve">Remerua </t>
  </si>
  <si>
    <t>Remuera to CC + North + Isthmus</t>
  </si>
  <si>
    <t>Great South</t>
  </si>
  <si>
    <t>Tamaki</t>
  </si>
  <si>
    <t>Entry into Quay Street</t>
  </si>
  <si>
    <t>Orakei to CC + North + Isthmus</t>
  </si>
  <si>
    <t>SH1</t>
  </si>
  <si>
    <t>Papakura/Drury to Airport</t>
  </si>
  <si>
    <t>NA</t>
  </si>
  <si>
    <t>Mill Road</t>
  </si>
  <si>
    <t>Papatoetoe to Māngere</t>
  </si>
  <si>
    <t>Papatoetoe to Ōtara</t>
  </si>
  <si>
    <t>Roscommon + Mahia</t>
  </si>
  <si>
    <t>Onewa: Total</t>
  </si>
  <si>
    <t>Lake Road</t>
  </si>
  <si>
    <t>Glenfield + Beachhaven-Northcote to South (-West)</t>
  </si>
  <si>
    <t>Onewa: Glenfield</t>
  </si>
  <si>
    <t>Birkenhead Ave</t>
  </si>
  <si>
    <t>Glenfield to South (-West)</t>
  </si>
  <si>
    <t>Onewa: Beachhaven</t>
  </si>
  <si>
    <t>Beachhaven-Northcote to South (-West)</t>
  </si>
  <si>
    <t>Flat Bush</t>
  </si>
  <si>
    <t>Catchment</t>
  </si>
  <si>
    <t>Travel Time</t>
  </si>
  <si>
    <t>O3+</t>
  </si>
  <si>
    <t>DM</t>
  </si>
  <si>
    <t>Albany</t>
  </si>
  <si>
    <t>Alb - CC</t>
  </si>
  <si>
    <t>Māngere</t>
  </si>
  <si>
    <t>Mgr - CC</t>
  </si>
  <si>
    <t>Westgate</t>
  </si>
  <si>
    <t>WG - CC</t>
  </si>
  <si>
    <t>WG - Con</t>
  </si>
  <si>
    <t>WG - Hen</t>
  </si>
  <si>
    <t>Air - Man</t>
  </si>
  <si>
    <t>Bty - Man</t>
  </si>
  <si>
    <t>Bty - CC</t>
  </si>
  <si>
    <t>Existing RTN</t>
  </si>
  <si>
    <t>Isthmus Corridors</t>
  </si>
  <si>
    <t>Onewa</t>
  </si>
  <si>
    <t>South Auckland</t>
  </si>
  <si>
    <t xml:space="preserve">New Northern </t>
  </si>
  <si>
    <t>Howick</t>
  </si>
  <si>
    <t>Southern Isthmus</t>
  </si>
  <si>
    <t>Crosstown Route Extensions/ Alignments</t>
  </si>
  <si>
    <t>Northwest Extensions/ Alignments</t>
  </si>
  <si>
    <t>North Shore</t>
  </si>
  <si>
    <t>Southern Line</t>
  </si>
  <si>
    <t>Eastern Line</t>
  </si>
  <si>
    <t>Western Line</t>
  </si>
  <si>
    <t>Upper Harbour (Henderson to Constellation)</t>
  </si>
  <si>
    <t>A2B</t>
  </si>
  <si>
    <t>AMETI</t>
  </si>
  <si>
    <t>Ellerslie to Panmure</t>
  </si>
  <si>
    <t>Remuera</t>
  </si>
  <si>
    <t>Māngere to Ōtara</t>
  </si>
  <si>
    <t>East</t>
  </si>
  <si>
    <t>West</t>
  </si>
  <si>
    <t>AMETI Spur</t>
  </si>
  <si>
    <t>A2B Extension</t>
  </si>
  <si>
    <t>Lynfield</t>
  </si>
  <si>
    <t>Blockhouse Bay</t>
  </si>
  <si>
    <t>Green Bay</t>
  </si>
  <si>
    <t>To Airport</t>
  </si>
  <si>
    <t>To Sylvia Park</t>
  </si>
  <si>
    <t>To Ellerslie</t>
  </si>
  <si>
    <t>To Panmure</t>
  </si>
  <si>
    <t>Hobsonville</t>
  </si>
  <si>
    <t>Whenuapai</t>
  </si>
  <si>
    <t>Kumeu/ Tuapaki/ Riverhead</t>
  </si>
  <si>
    <t>Western Line Spur</t>
  </si>
  <si>
    <t>Western Line (Swanson to Kumeu)</t>
  </si>
  <si>
    <t>1.Increase access to opportunities, especially to major and growing employment areas.</t>
  </si>
  <si>
    <t>Estimated based on 2048 employment and population forecasts</t>
  </si>
  <si>
    <t>Connects the whole of the North Shore with the rest of Auckland - provides competitive option with motorway - significant accessibility benefits</t>
  </si>
  <si>
    <t>AIRPORT, CITY CENTRE, fairly significant travel time benefits to these employment hubs</t>
  </si>
  <si>
    <t>Significant travel time improvements for trip to from and within the Northwest - WESTGATE, CITY CENTRE, serving growth areas in NW</t>
  </si>
  <si>
    <t>Connects South with the rest of Auckland - provides competitive option with motorway - significant accessibility benefits</t>
  </si>
  <si>
    <t>Connects Manukau + Eastern Isthmus - significant accessibility benefits</t>
  </si>
  <si>
    <t>Connects West with the rest of Auckland - provides competitive option with motorway - significant accessibility benefits</t>
  </si>
  <si>
    <t>Increases Penrose/ Te Papapa catchment. But if retained as low frequency heavy rail, does not provide significant access benefits.</t>
  </si>
  <si>
    <t>Would increase the catchment of areas within the southern end of the isthmus as well as STH, ALR, WST.</t>
  </si>
  <si>
    <t>HENDERSON, WESTGATE, Connects the North Shore to these areas - less population/ employment accessibility than for City Centre connections</t>
  </si>
  <si>
    <t>Connects several key employment areas (Airport, Manukau, Botany)</t>
  </si>
  <si>
    <r>
      <t xml:space="preserve">Improves accessibility to key employment areas (Botany + City Centre)
</t>
    </r>
    <r>
      <rPr>
        <i/>
        <sz val="8"/>
        <color theme="1"/>
        <rFont val="Arial Nova"/>
        <family val="2"/>
        <scheme val="minor"/>
      </rPr>
      <t>Rapid transit time of 40 minutes from Botany to the city, 20 minutes faster than the current situation.</t>
    </r>
  </si>
  <si>
    <t>Enhanced access to key employment area (Botany) and enhances connection of East to Newmarket</t>
  </si>
  <si>
    <t>Directly adjacent central corridor RTN, no significant benefits</t>
  </si>
  <si>
    <t>Improves catchment of isthmus area - Royal Oak, Epsom, Newmarket, Onehunga, and would improve city centre and airport access (connects to LRT)</t>
  </si>
  <si>
    <t>Would improve access to the tamaki road area (catchment halved by waterfront, low population, low growth), partially served by EAST, minimal network wide benefits</t>
  </si>
  <si>
    <t xml:space="preserve">Would improve access to the Remuera area, minimal network wide access benefits. </t>
  </si>
  <si>
    <t>Directly adjacent rail corridor, no significant benefits</t>
  </si>
  <si>
    <t>Would improve access to the Glenfield area</t>
  </si>
  <si>
    <t>Would improve access to the Beachhaven area</t>
  </si>
  <si>
    <t>Improves access to supporting growth area of Drury, and could possibly improve access to Manukau (depending on alignment). But is adjacent to rail corridor - limits benefits</t>
  </si>
  <si>
    <t>Improves access along Mill road - limited employment and population. Could possibly improve access to Manukau (depending on alignment)</t>
  </si>
  <si>
    <t>Improves access between Māngere and Ōtāhuhu, limited employment access improvements. Some population access improvements.</t>
  </si>
  <si>
    <t>Already served by A2B</t>
  </si>
  <si>
    <t>Moderate population access improvments. Could possibly improve access to Manukau (depending on alignment)</t>
  </si>
  <si>
    <t>Increases the catchment of north shore services - depends on arrangement with Northern busway, and supplementary RTN</t>
  </si>
  <si>
    <t>Extends AMETI to Howick - improvement for employment access for those in northern end of East Auckland to the city centre (moderate)</t>
  </si>
  <si>
    <t>Extends A2B to Howick - increasing employment access (Botany) as well as further to East Tamaki and Manukau (significant)</t>
  </si>
  <si>
    <t>Provides an accessibility improvement for those in Lynfield</t>
  </si>
  <si>
    <t>Provides an accessibility improvement for those in Blockhouse Bay</t>
  </si>
  <si>
    <t>Provides an accessibility improvement for those in Green Bay (low population)</t>
  </si>
  <si>
    <t>Significantly imrpoves access to key emploment area of Airtport - significantly faster connections West to Airport</t>
  </si>
  <si>
    <t>Improves access to Sylvia Park</t>
  </si>
  <si>
    <t>Connects crosstown route to potential Panmure Ellerslie extension of AMETI.</t>
  </si>
  <si>
    <t>Connects crosstown route to AMETI. Significantly expanding connection between West and East</t>
  </si>
  <si>
    <t>Extends NW to Hobsonville - area of significant population - high population growth</t>
  </si>
  <si>
    <t>Extends NW to Whenuapai - area of significant population - high population growth</t>
  </si>
  <si>
    <t>Extends NW to Hobsonville - area of small but growing population. Does imrpove Whuapai &amp; Hobsonville catchment to some degree</t>
  </si>
  <si>
    <t>Increases access of Welsey, Mt Roskill development areas to city centre.</t>
  </si>
  <si>
    <t>Does not signficiantly increase the catchment of the Western line, does improve the catchment for Kumeu residents</t>
  </si>
  <si>
    <t>2.Increase people throughput on Auckland’s most critical corridors.</t>
  </si>
  <si>
    <t>0-1,000 (1)
1,000-2,000 (2)
2,000-3,000 (3)
3,000-5,000 (4)
5,000-7,000 (5)
7,000-9,000 (6)
&gt;=9,000 (7)</t>
  </si>
  <si>
    <t>~10,000</t>
  </si>
  <si>
    <t>~6,000</t>
  </si>
  <si>
    <t>~7,000</t>
  </si>
  <si>
    <t>4,000 - 5,000 via Newmarket
~10,000 from South of Puhinui</t>
  </si>
  <si>
    <t>~1,600 from Manukau
7,000+ from Eastern Section</t>
  </si>
  <si>
    <t>~6,000-7,000</t>
  </si>
  <si>
    <t>~250</t>
  </si>
  <si>
    <t>~1,000 based on bus services - may be higher with RTN</t>
  </si>
  <si>
    <t>~1000</t>
  </si>
  <si>
    <t>~1,000</t>
  </si>
  <si>
    <t>~2,700 AMETI total
1,850 AMETI from Botany</t>
  </si>
  <si>
    <t>~1,500 based on bus services - may be higher with RTN</t>
  </si>
  <si>
    <t>~1,500 assuming 2048 bus services</t>
  </si>
  <si>
    <t>&lt;1,000 assuming 2048 bus services</t>
  </si>
  <si>
    <t>2923 (1,800/hr)
AM peak based on 2048+ AM ATAP3_DBC_Pref_Prog 002 model run (2019)</t>
  </si>
  <si>
    <t xml:space="preserve">No major bus routes, relatively low traffic volumes, patronage expected to be low </t>
  </si>
  <si>
    <t>&lt;1,000 (~700) assuming 2048 bus services</t>
  </si>
  <si>
    <t>Significant demands from the Flat Bush area, but majority already served by A2B corridor.</t>
  </si>
  <si>
    <t>No major bus routes, relatively low traffic volumes, patronage expected to be low</t>
  </si>
  <si>
    <t>Based on MSM &amp; census zone to zone demands, equal demands North of Albany, East, West of NS. Patronage depends on busway and supplementary RTN alignment</t>
  </si>
  <si>
    <t>Based on 2028 bus routes, patronage is relatively low. HOWEVER, based on zone to zone MSM &amp; Census demands - significant potential for throughput via mode shift.</t>
  </si>
  <si>
    <t>Based on MSM &amp; census zone to zone demands, moderate demands</t>
  </si>
  <si>
    <t>Based on MSM &amp; census zone to zone demands, v low demands</t>
  </si>
  <si>
    <t>As per crosstown route?</t>
  </si>
  <si>
    <t>Based on MSM demands &amp; comp of zone to zone demands</t>
  </si>
  <si>
    <t>Based on MSM demands &amp; comp of zone to zone demands - lowest demands of 3 but will pick up some Hobsonville &amp; Whenuapai demand</t>
  </si>
  <si>
    <t>3,600/ hr est</t>
  </si>
  <si>
    <t>1,200/ hr
(2,000 passengers in the morning peak period for passenger rail services from Kumeū)</t>
  </si>
  <si>
    <t>3.Increase the share of travel unaffected by congestion</t>
  </si>
  <si>
    <t>Estimate based on current congestion. Where existing corridor - est impact without corridor.</t>
  </si>
  <si>
    <t>Alternative @ majority LoS F</t>
  </si>
  <si>
    <t>Alternative @ LoS A-E with large sections at D</t>
  </si>
  <si>
    <t>Alternative @ majority LoS D-F, sections @ F (without corridor would be significantly worse)</t>
  </si>
  <si>
    <t>Sections @ LoS D-F, Isthmus sections @ B-D (without corridor would be significantly worse)</t>
  </si>
  <si>
    <t>Alternative @ majority LoS D-F (without corridor would be significantly worse)</t>
  </si>
  <si>
    <t>Ranges between LoS B - D (without corridor would be slightly worse)</t>
  </si>
  <si>
    <t>~LoS C</t>
  </si>
  <si>
    <t>Sections @ A, some sections @ F</t>
  </si>
  <si>
    <t>Alternative @ majority LoS C-E</t>
  </si>
  <si>
    <t>Alternative @ LoS C-F</t>
  </si>
  <si>
    <t>LoS D/E</t>
  </si>
  <si>
    <t>LoS D/F</t>
  </si>
  <si>
    <t>LoS A/B</t>
  </si>
  <si>
    <t>LoS F at sections of Onewa Road + City Centre, LoS A-C at other areas</t>
  </si>
  <si>
    <t>LoS C-E</t>
  </si>
  <si>
    <t>LoS C</t>
  </si>
  <si>
    <t>LoS B to E</t>
  </si>
  <si>
    <t>Ranges from LoS B to F</t>
  </si>
  <si>
    <t>LoS between B-D</t>
  </si>
  <si>
    <t>Majority LoS C</t>
  </si>
  <si>
    <t>As per LRT</t>
  </si>
  <si>
    <t>Onehunga to Airport, LoS A-C</t>
  </si>
  <si>
    <t>Onehunga to Sylvia Park, LoS C</t>
  </si>
  <si>
    <t>Onehunga to Ellerslie, LoS C</t>
  </si>
  <si>
    <t>Onehunga to Panmure, LoS C</t>
  </si>
  <si>
    <t>Alternative @ majority LoS F - as per NW</t>
  </si>
  <si>
    <t>Isthmus corridors and SH16 are alternative - most level D/F</t>
  </si>
  <si>
    <t>Alternate routes @ majority LoS A-C</t>
  </si>
  <si>
    <t>4.Increase public transport’s mode share, especially for medium to long journeys, and reduce greenhouse gas emissions</t>
  </si>
  <si>
    <t>Based on 2048 forecasts of mode share in areas. Higher score if serving area with low mode share. If existing, estimate of impact on mode share.</t>
  </si>
  <si>
    <t>Only alternative for majority of NS - patronage as evidence (50% over AHB*)</t>
  </si>
  <si>
    <t>Area with existing high mode share (but also serves area of low mode share), but significant increase for mode shift</t>
  </si>
  <si>
    <t>Only alternative for NW - business case?</t>
  </si>
  <si>
    <t>Existing Infrastructure - Main alternative for travel from South (to North or to South)</t>
  </si>
  <si>
    <t>Existing Infrastructure</t>
  </si>
  <si>
    <t>Existing Infrastructure - Main alternative for travel from West</t>
  </si>
  <si>
    <t>Low throughput - insignificant contribution to mode share</t>
  </si>
  <si>
    <t>Serves areas with existing relatively high mode share</t>
  </si>
  <si>
    <t>Low Mode Share Area</t>
  </si>
  <si>
    <t>A2B contributes to an estimated 2048 am peak overall public transport mode share to the airport of 43% compared to 39% without A2B.</t>
  </si>
  <si>
    <t>Serves areas with existing relatively high mode share, not a signficant ability for mode shift as standalone piece of infrastructure</t>
  </si>
  <si>
    <t>Low Mode Share Area, low traffic volumes limits potential for mode shift</t>
  </si>
  <si>
    <t>Limited potential for mode shift given low estimated throughput</t>
  </si>
  <si>
    <t>Potential for moderate mode shift</t>
  </si>
  <si>
    <t>Minimal potential for mode shift, though does serve low mode share area</t>
  </si>
  <si>
    <t>5.Enable an integrated, efficient and effective public transport network</t>
  </si>
  <si>
    <t>Based on potential for network redesign for efficiency, proximity to other corridors etc</t>
  </si>
  <si>
    <t>As the backbone of the  RTN network - critical network function that enabled the new network</t>
  </si>
  <si>
    <t>Key to addresssing the capacity constraints on central isthmus corridors (as well as decreasing bus volumes within the city centre), enables some network re-design.</t>
  </si>
  <si>
    <t>Northwest RTN would enable the re-design of the Northwest network in line with the rest of the new network</t>
  </si>
  <si>
    <t>As the backbone of the current RTN network - critical network function that enabled the new network</t>
  </si>
  <si>
    <t>Limited network function as standalone part of network. Connects Southern Line to future central corridor.</t>
  </si>
  <si>
    <t>Connects the Isthmus FTN and RTN network to enables more connected journeys. Improves connections from the Airport to the West.</t>
  </si>
  <si>
    <t xml:space="preserve">Enables a connected network between the West, Northwest and North Shore. Western Line, future Northwest RTN &amp; Northern Corridor. </t>
  </si>
  <si>
    <t>Enables the redesign of the southern Network. Connects Airport to Southern + Western Lines, and to AMETI.</t>
  </si>
  <si>
    <t>Enables the redesign of the eastern network - connects the east to the EAST line and connects to the future A2B corridor.</t>
  </si>
  <si>
    <t>Connects the STH and EAST lines and AMETI. Enables more connected journeys, and minimsies the number of transfers required for the east of Auckland.</t>
  </si>
  <si>
    <t>With the proximity to the light rail corridor, limited network value</t>
  </si>
  <si>
    <t>Serves new catchment areas, and may enable network redesign of LRT to enable faster airport connections, and changes to crosstown RTN</t>
  </si>
  <si>
    <t>Limited network value - does serve new catchment area but halved by harbour, would not enable significant network redesign considering proximity of areas to rail corridor</t>
  </si>
  <si>
    <t>Limited network value - does serve new catchment area, but would not enable significant network redesign</t>
  </si>
  <si>
    <t>With the proximity to the rail corridor, limited network value</t>
  </si>
  <si>
    <t>Adresses significant demand, and high vols of city centre buses. Likely to reduce demand constraints on other North Shore corridors.</t>
  </si>
  <si>
    <t>Some potential for redesign of southern bus services.</t>
  </si>
  <si>
    <t>Limited network impact</t>
  </si>
  <si>
    <t>Potential for network redesign of southern bus services.</t>
  </si>
  <si>
    <t>Potential for network redesign of North Shore services, likely to reduce demand constraints on other North Shore corridors.</t>
  </si>
  <si>
    <t>Potential for network redesign</t>
  </si>
  <si>
    <r>
      <t xml:space="preserve">Extension of the crosstown route
</t>
    </r>
    <r>
      <rPr>
        <i/>
        <sz val="8"/>
        <color theme="1"/>
        <rFont val="Arial Nova"/>
        <family val="2"/>
        <scheme val="minor"/>
      </rPr>
      <t>(Connects the Isthmus FTN and RTN network to enables more connected journeys. Improves connections from the Airport to the West)</t>
    </r>
  </si>
  <si>
    <t>Potential for network redesign - but impact on Upper Harbour route - forces same mode as NW</t>
  </si>
  <si>
    <t>Enables re-configuration of rail lines and provides turn around for Western line services. Could enable network re-design of services at southern end of Isthmus.</t>
  </si>
  <si>
    <t>Not expected to have any significant network benefits</t>
  </si>
  <si>
    <t>6.Focus most housing and employment growth in centres, nodes, and development areas.</t>
  </si>
  <si>
    <t>(1) None
(2) 1 of 1 category
(3) 1 of 2 categories
(4) 1 of 3 categories
(5) Multiple in 1 category
(6) Multiple in 2 category
(7) Multiple in 3 category</t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</si>
  <si>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Takapuna, Albany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Albany, Rosedale, Takapuna/ Smales
</t>
    </r>
    <r>
      <rPr>
        <b/>
        <sz val="8"/>
        <color theme="1"/>
        <rFont val="Arial Nova"/>
        <family val="2"/>
        <scheme val="minor"/>
      </rPr>
      <t xml:space="preserve">Development Areas: </t>
    </r>
    <r>
      <rPr>
        <sz val="8"/>
        <color theme="1"/>
        <rFont val="Arial Nova"/>
        <family val="2"/>
        <scheme val="minor"/>
      </rPr>
      <t>Albany, Sunnynook, Northcote/Takapuna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</si>
  <si>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Airport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Isthmus Corridor, Wesley/ Mt Roskill, Onehunga, Mangere, Eden Terrace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</si>
  <si>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Westgate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Westgate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Whenuapai/ Kumeū, Te Atatū, Westgate, Unitec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</si>
  <si>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Newmarket, Papakura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Newmarket, Penrose, Wiri, Takanini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Ellerslie, Greenlane, Ōtāhuhu, Papatoetoe, Takanini, Papakura, Drury, Pukekohe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</si>
  <si>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Newmarket, , Sylvia Park, Manukau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Sylvia Park, Manukau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Tāmaki, Sylvia Park, Ōtāhuhu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</si>
  <si>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New Lynn, Henderson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New Lynn, Henderson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Western Corridor, Wesley, Unitec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</si>
  <si>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Penrose Industrial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Onehunga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</si>
  <si>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New Lynn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New Lynn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Wesley, New Lynn/ Avondale, Onehunga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</si>
  <si>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Henderson, Westgate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Henderson, Westgate, Rosedale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Westgate, Whenuapai, Henderson, Hobsonville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</si>
  <si>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Botany, Manukau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Airport, Botany, Manukau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Manukau, Flat Bush?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</si>
  <si>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Botany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Botany, Pakuranga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Pakuranga, Tamaki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</si>
  <si>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Ellerslie, Tamaki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</si>
  <si>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</si>
  <si>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Three Kings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</si>
  <si>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Newmarket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Onehunga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</si>
  <si>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-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</si>
  <si>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Newmarket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Glen Innes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</si>
  <si>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Newmarket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-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</si>
  <si>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Birkenhead, potentially connecting to Northcote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</si>
  <si>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Manukau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Manukau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Drury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</si>
  <si>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Possibly Manukau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Possibly Manukau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Future urban area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</si>
  <si>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Māngere, Ōtāhuhu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</si>
  <si>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Flat Bush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</si>
  <si>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Possibly Manukau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Possibly Manukau, Wiri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Manurewa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</si>
  <si>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poss Takapuna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poss Takapuna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poss Takapuna, Long Bay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</si>
  <si>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Centre, Albany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Centre, Albany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Albany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</si>
  <si>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 via Panmure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 via panmure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Pakuranga, Howick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</si>
  <si>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Botany, and Manukau via A2B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Botany, and Manukau via A2B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Howick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</si>
  <si>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-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</si>
  <si>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Airport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Wesley, Māngere, Onehunga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</si>
  <si>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Sylvia Park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Sylvia Park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Wesley, Onehunga, Sylvia Park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</si>
  <si>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Te Papapa/Penrose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Wesley, Onehunga, Ellerslie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</si>
  <si>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-
</t>
    </r>
    <r>
      <rPr>
        <b/>
        <sz val="8"/>
        <color theme="1"/>
        <rFont val="Arial Nova"/>
        <family val="2"/>
        <scheme val="minor"/>
      </rPr>
      <t xml:space="preserve">Employment Areas: </t>
    </r>
    <r>
      <rPr>
        <sz val="8"/>
        <color theme="1"/>
        <rFont val="Arial Nova"/>
        <family val="2"/>
        <scheme val="minor"/>
      </rPr>
      <t xml:space="preserve">Te Papapa/Penrose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Wesley, Onehunga, Panmure/ Tamaki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</si>
  <si>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>Hobsonville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</si>
  <si>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Whenuapai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</si>
  <si>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Employment Areas:</t>
    </r>
    <r>
      <rPr>
        <sz val="8"/>
        <color theme="1"/>
        <rFont val="Arial Nova"/>
        <family val="2"/>
        <scheme val="minor"/>
      </rPr>
      <t xml:space="preserve"> City Centre via light rail connection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Kumeu, some whenuapai/hobsonville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</si>
  <si>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
</t>
    </r>
    <r>
      <rPr>
        <b/>
        <sz val="8"/>
        <color theme="1"/>
        <rFont val="Arial Nova"/>
        <family val="2"/>
        <scheme val="minor"/>
      </rPr>
      <t>Employment Areas: C</t>
    </r>
    <r>
      <rPr>
        <sz val="8"/>
        <color theme="1"/>
        <rFont val="Arial Nova"/>
        <family val="2"/>
        <scheme val="minor"/>
      </rPr>
      <t xml:space="preserve">ity Centre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Wesley/ Mt Roskill</t>
    </r>
  </si>
  <si>
    <r>
      <rPr>
        <b/>
        <sz val="8"/>
        <color theme="1"/>
        <rFont val="Arial Nova"/>
        <family val="2"/>
        <scheme val="minor"/>
      </rPr>
      <t>Metropolitan Centres:</t>
    </r>
    <r>
      <rPr>
        <sz val="8"/>
        <color theme="1"/>
        <rFont val="Arial Nova"/>
        <family val="2"/>
        <scheme val="minor"/>
      </rPr>
      <t xml:space="preserve"> City Centre via rail
</t>
    </r>
    <r>
      <rPr>
        <b/>
        <sz val="8"/>
        <color theme="1"/>
        <rFont val="Arial Nova"/>
        <family val="2"/>
        <scheme val="minor"/>
      </rPr>
      <t>Employment Areas: C</t>
    </r>
    <r>
      <rPr>
        <sz val="8"/>
        <color theme="1"/>
        <rFont val="Arial Nova"/>
        <family val="2"/>
        <scheme val="minor"/>
      </rPr>
      <t xml:space="preserve">ity Centre via rail
</t>
    </r>
    <r>
      <rPr>
        <b/>
        <sz val="8"/>
        <color theme="1"/>
        <rFont val="Arial Nova"/>
        <family val="2"/>
        <scheme val="minor"/>
      </rPr>
      <t>Development Areas:</t>
    </r>
    <r>
      <rPr>
        <sz val="8"/>
        <color theme="1"/>
        <rFont val="Arial Nova"/>
        <family val="2"/>
        <scheme val="minor"/>
      </rPr>
      <t xml:space="preserve"> Kumeu, Western line via rail</t>
    </r>
  </si>
  <si>
    <t xml:space="preserve">7.Support high quality integrated urban communities. </t>
  </si>
  <si>
    <t>Access (Travel Times)</t>
  </si>
  <si>
    <t>Throughput</t>
  </si>
  <si>
    <t>Choice</t>
  </si>
  <si>
    <t>Mode Share</t>
  </si>
  <si>
    <t>Network</t>
  </si>
  <si>
    <t>Centres &amp; Development</t>
  </si>
  <si>
    <t>TOD</t>
  </si>
  <si>
    <t>Existing</t>
  </si>
  <si>
    <t>NYA</t>
  </si>
  <si>
    <t>Onewa Comparison - 2018 Census</t>
  </si>
  <si>
    <t>Northwest Extensions - 2048 AM Peak AFC</t>
  </si>
  <si>
    <t xml:space="preserve"> </t>
  </si>
  <si>
    <t>Beachhaven-Cathswood-Northcote</t>
  </si>
  <si>
    <t>Kumeu/Riverhead/Tuapaki</t>
  </si>
  <si>
    <t>Outbound</t>
  </si>
  <si>
    <t>Inbound</t>
  </si>
  <si>
    <t>2hr</t>
  </si>
  <si>
    <t>1hr</t>
  </si>
  <si>
    <t>City Centre</t>
  </si>
  <si>
    <t>City Centre + Fringe</t>
  </si>
  <si>
    <t>S of Kumeu</t>
  </si>
  <si>
    <t>City Fringe</t>
  </si>
  <si>
    <t>Isthmus West</t>
  </si>
  <si>
    <t>S of Whenuapai</t>
  </si>
  <si>
    <t>Difference</t>
  </si>
  <si>
    <t>South</t>
  </si>
  <si>
    <t>TOTAL</t>
  </si>
  <si>
    <t>Onewa Comparison - 2048 AM Peak</t>
  </si>
  <si>
    <t>City + Fringe</t>
  </si>
  <si>
    <t>Southern Isthmus Extensions - 2048 AM Peak AFC</t>
  </si>
  <si>
    <t>Southern Isthmus Extensions - 2018 Census</t>
  </si>
  <si>
    <t>Crosstown Extension to Airport</t>
  </si>
  <si>
    <t>Wesley/ Owairaka - Blockhouse Bay</t>
  </si>
  <si>
    <t>Airport - Māngere</t>
  </si>
  <si>
    <t>MSM</t>
  </si>
  <si>
    <t>City Centre &amp; Fringe</t>
  </si>
  <si>
    <t>Isthmus Central</t>
  </si>
  <si>
    <t>West Auckland</t>
  </si>
  <si>
    <t>Hillborough</t>
  </si>
  <si>
    <t>Onehunga</t>
  </si>
  <si>
    <t>Avondale</t>
  </si>
  <si>
    <t>Wesley</t>
  </si>
  <si>
    <t>Hillsborough-Mt Roskill-Lynfield</t>
  </si>
  <si>
    <t>Green Bay-Titirangi</t>
  </si>
  <si>
    <t>Howick - 2048 AM Peak AFC</t>
  </si>
  <si>
    <t>Howick - 2018 Census</t>
  </si>
  <si>
    <t>Botany-Pakuranga</t>
  </si>
  <si>
    <t>Central Isthmus</t>
  </si>
  <si>
    <t>Far North</t>
  </si>
  <si>
    <t>Far West</t>
  </si>
  <si>
    <t>Botany</t>
  </si>
  <si>
    <t>Far South</t>
  </si>
  <si>
    <t>All other (exc NS + CC)</t>
  </si>
  <si>
    <t>Internal (West)</t>
  </si>
  <si>
    <t>Internal (East)</t>
  </si>
  <si>
    <t>North of Albany &amp; Whangaparaoa</t>
  </si>
  <si>
    <t>Internal (North of Albany)</t>
  </si>
  <si>
    <t>v</t>
  </si>
  <si>
    <t>Corridor</t>
  </si>
  <si>
    <t>Total</t>
  </si>
  <si>
    <t>Outcome</t>
  </si>
  <si>
    <t>Upper Harbour</t>
  </si>
  <si>
    <t>Ormiston/ Flat Bush</t>
  </si>
  <si>
    <t>North</t>
  </si>
  <si>
    <t>Other</t>
  </si>
  <si>
    <t>Included</t>
  </si>
  <si>
    <t>Likely included</t>
  </si>
  <si>
    <t>To test</t>
  </si>
  <si>
    <t>Not included</t>
  </si>
  <si>
    <t>Light Rail Corridors</t>
  </si>
  <si>
    <t>Existing/Included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</si>
</sst>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4" x14ac:knownFonts="1">
    <font>
      <sz val="10"/>
      <color theme="1"/>
      <name val="Arial Nova"/>
      <family val="2"/>
      <scheme val="minor"/>
    </font>
    <font>
      <b/>
      <sz val="10"/>
      <color theme="1"/>
      <name val="Arial Nova"/>
      <family val="2"/>
      <scheme val="minor"/>
    </font>
    <font>
      <i/>
      <sz val="10"/>
      <color theme="1"/>
      <name val="Arial Nova"/>
      <family val="2"/>
      <scheme val="minor"/>
    </font>
    <font>
      <sz val="10"/>
      <color theme="1"/>
      <name val="Arial Nova"/>
      <family val="2"/>
      <scheme val="minor"/>
    </font>
    <font>
      <sz val="10"/>
      <name val="Arial Nova"/>
      <family val="2"/>
      <scheme val="minor"/>
    </font>
    <font>
      <b/>
      <sz val="10"/>
      <color theme="0"/>
      <name val="Arial Nova"/>
      <family val="2"/>
      <scheme val="minor"/>
    </font>
    <font>
      <sz val="8"/>
      <color theme="1"/>
      <name val="Arial Nova"/>
      <family val="2"/>
      <scheme val="minor"/>
    </font>
    <font>
      <b/>
      <sz val="12"/>
      <color theme="0"/>
      <name val="Arial Nova"/>
      <family val="2"/>
      <scheme val="minor"/>
    </font>
    <font>
      <b/>
      <sz val="8"/>
      <color theme="1"/>
      <name val="Arial Nova"/>
      <family val="2"/>
      <scheme val="minor"/>
    </font>
    <font>
      <sz val="10"/>
      <color theme="0"/>
      <name val="Arial Nova"/>
      <family val="2"/>
      <scheme val="minor"/>
    </font>
    <font>
      <sz val="10"/>
      <color theme="0" tint="-0.14999847407452621"/>
      <name val="Arial Nova"/>
      <family val="2"/>
      <scheme val="minor"/>
    </font>
    <font>
      <i/>
      <sz val="8"/>
      <color theme="1"/>
      <name val="Arial Nova"/>
      <family val="2"/>
      <scheme val="minor"/>
    </font>
    <font>
      <b/>
      <sz val="10"/>
      <name val="Arial Nova"/>
      <family val="2"/>
      <scheme val="minor"/>
    </font>
    <font>
      <sz val="10"/>
      <color theme="0" tint="-0.34998626667073579"/>
      <name val="Arial Nov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4" fillId="0" borderId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/>
    <xf numFmtId="0" fontId="4" fillId="0" borderId="0" xfId="1"/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4" fillId="0" borderId="0" xfId="2" applyNumberFormat="1" applyFont="1"/>
    <xf numFmtId="164" fontId="3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12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12" fillId="0" borderId="0" xfId="2" applyNumberFormat="1" applyFont="1"/>
    <xf numFmtId="164" fontId="13" fillId="0" borderId="0" xfId="2" applyNumberFormat="1" applyFont="1"/>
    <xf numFmtId="0" fontId="1" fillId="4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164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/>
    </xf>
  </cellXfs>
  <cellStyles count="3">
    <cellStyle name="Comma" xfId="2" builtinId="3"/>
    <cellStyle name="Normal" xfId="0" builtinId="0"/>
    <cellStyle name="Normal 2" xfId="1" xr:uid="{1BB6098E-A976-4AF0-9307-18EEF6A6B75A}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1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800" b="1" spc="120" baseline="0"/>
              <a:t>ATAP CORRIDORS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12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'Dem Cap'!$K$3</c:f>
              <c:strCache>
                <c:ptCount val="1"/>
                <c:pt idx="0">
                  <c:v>PT Demand (1hr)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Cap'!$K$5:$K$24</c:f>
              <c:numCache>
                <c:formatCode>General</c:formatCode>
                <c:ptCount val="20"/>
                <c:pt idx="0">
                  <c:v>10200.6</c:v>
                </c:pt>
                <c:pt idx="1">
                  <c:v>5773.2</c:v>
                </c:pt>
                <c:pt idx="2">
                  <c:v>6874.8</c:v>
                </c:pt>
                <c:pt idx="4">
                  <c:v>4625.3999999999996</c:v>
                </c:pt>
                <c:pt idx="5">
                  <c:v>11791.199999999999</c:v>
                </c:pt>
                <c:pt idx="6">
                  <c:v>6483.5999999999995</c:v>
                </c:pt>
                <c:pt idx="7">
                  <c:v>255</c:v>
                </c:pt>
                <c:pt idx="9">
                  <c:v>955.19999999999993</c:v>
                </c:pt>
                <c:pt idx="10">
                  <c:v>1081.8</c:v>
                </c:pt>
                <c:pt idx="11">
                  <c:v>781.19999999999993</c:v>
                </c:pt>
                <c:pt idx="12">
                  <c:v>906.6</c:v>
                </c:pt>
                <c:pt idx="13">
                  <c:v>1101.5999999999999</c:v>
                </c:pt>
                <c:pt idx="14">
                  <c:v>1851.6</c:v>
                </c:pt>
                <c:pt idx="15">
                  <c:v>726</c:v>
                </c:pt>
                <c:pt idx="16">
                  <c:v>2669.4</c:v>
                </c:pt>
                <c:pt idx="17">
                  <c:v>1447.2</c:v>
                </c:pt>
                <c:pt idx="19">
                  <c:v>13240.199999999999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290-49F9-AFCD-810679152259}"/>
            </c:ext>
          </c:extLst>
        </c:ser>
        <c:ser>
          <c:idx val="1"/>
          <c:order val="1"/>
          <c:tx>
            <c:strRef>
              <c:f>'Dem Cap'!$L$3</c:f>
              <c:strCache>
                <c:ptCount val="1"/>
                <c:pt idx="0">
                  <c:v>Car Demand (1hr)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Cap'!$L$5:$L$24</c:f>
              <c:numCache>
                <c:formatCode>General</c:formatCode>
                <c:ptCount val="20"/>
                <c:pt idx="0">
                  <c:v>11461.199999999999</c:v>
                </c:pt>
                <c:pt idx="1">
                  <c:v>906</c:v>
                </c:pt>
                <c:pt idx="2">
                  <c:v>8346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5253.5999999999995</c:v>
                </c:pt>
                <c:pt idx="11">
                  <c:v>1009.8</c:v>
                </c:pt>
                <c:pt idx="12">
                  <c:v>1992.6</c:v>
                </c:pt>
                <c:pt idx="13">
                  <c:v>1914</c:v>
                </c:pt>
                <c:pt idx="14">
                  <c:v>1245</c:v>
                </c:pt>
                <c:pt idx="15">
                  <c:v>3218.4</c:v>
                </c:pt>
                <c:pt idx="16">
                  <c:v>4463.3999999999996</c:v>
                </c:pt>
                <c:pt idx="17">
                  <c:v>1517.3999999999999</c:v>
                </c:pt>
                <c:pt idx="19">
                  <c:v>12823.199999999999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290-49F9-AFCD-810679152259}"/>
            </c:ext>
          </c:extLst>
        </c:ser>
        <c:ser>
          <c:idx val="2"/>
          <c:order val="2"/>
          <c:tx>
            <c:strRef>
              <c:f>'Dem Cap'!$M$3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Cap'!$M$5:$M$24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24-8290-49F9-AFCD-810679152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91976496"/>
        <c:axId val="791976824"/>
      </c:barChart>
      <c:lineChart>
        <c:grouping val="standard"/>
        <c:varyColors val="0"/>
        <c:ser>
          <c:idx val="3"/>
          <c:order val="3"/>
          <c:tx>
            <c:strRef>
              <c:f>'Dem Cap'!$N$3</c:f>
              <c:strCache>
                <c:ptCount val="1"/>
                <c:pt idx="0">
                  <c:v>Bus Lanes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Cap'!$N$5:$N$24</c:f>
              <c:numCache>
                <c:formatCode>#,##0</c:formatCode>
                <c:ptCount val="20"/>
                <c:pt idx="0">
                  <c:v>2400</c:v>
                </c:pt>
                <c:pt idx="1">
                  <c:v>2400</c:v>
                </c:pt>
                <c:pt idx="2">
                  <c:v>2400</c:v>
                </c:pt>
                <c:pt idx="3">
                  <c:v>2400</c:v>
                </c:pt>
                <c:pt idx="4">
                  <c:v>2400</c:v>
                </c:pt>
                <c:pt idx="5">
                  <c:v>2400</c:v>
                </c:pt>
                <c:pt idx="6">
                  <c:v>2400</c:v>
                </c:pt>
                <c:pt idx="7">
                  <c:v>2400</c:v>
                </c:pt>
                <c:pt idx="8">
                  <c:v>2400</c:v>
                </c:pt>
                <c:pt idx="9">
                  <c:v>2400</c:v>
                </c:pt>
                <c:pt idx="10">
                  <c:v>2400</c:v>
                </c:pt>
                <c:pt idx="11">
                  <c:v>2400</c:v>
                </c:pt>
                <c:pt idx="12">
                  <c:v>2400</c:v>
                </c:pt>
                <c:pt idx="13">
                  <c:v>2400</c:v>
                </c:pt>
                <c:pt idx="14">
                  <c:v>2400</c:v>
                </c:pt>
                <c:pt idx="15">
                  <c:v>2400</c:v>
                </c:pt>
                <c:pt idx="16">
                  <c:v>2400</c:v>
                </c:pt>
                <c:pt idx="17">
                  <c:v>2400</c:v>
                </c:pt>
                <c:pt idx="18">
                  <c:v>2400</c:v>
                </c:pt>
                <c:pt idx="19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290-49F9-AFCD-810679152259}"/>
            </c:ext>
          </c:extLst>
        </c:ser>
        <c:ser>
          <c:idx val="4"/>
          <c:order val="4"/>
          <c:tx>
            <c:strRef>
              <c:f>'Dem Cap'!$O$3</c:f>
              <c:strCache>
                <c:ptCount val="1"/>
                <c:pt idx="0">
                  <c:v>Busway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Cap'!$O$5:$O$24</c:f>
              <c:numCache>
                <c:formatCode>#,##0</c:formatCode>
                <c:ptCount val="20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290-49F9-AFCD-810679152259}"/>
            </c:ext>
          </c:extLst>
        </c:ser>
        <c:ser>
          <c:idx val="5"/>
          <c:order val="5"/>
          <c:tx>
            <c:strRef>
              <c:f>'Dem Cap'!$P$3</c:f>
              <c:strCache>
                <c:ptCount val="1"/>
                <c:pt idx="0">
                  <c:v>On Street Rail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Cap'!$P$5:$P$24</c:f>
              <c:numCache>
                <c:formatCode>#,##0</c:formatCode>
                <c:ptCount val="20"/>
                <c:pt idx="0">
                  <c:v>7200</c:v>
                </c:pt>
                <c:pt idx="1">
                  <c:v>7200</c:v>
                </c:pt>
                <c:pt idx="2">
                  <c:v>7200</c:v>
                </c:pt>
                <c:pt idx="3">
                  <c:v>7200</c:v>
                </c:pt>
                <c:pt idx="4">
                  <c:v>7200</c:v>
                </c:pt>
                <c:pt idx="5">
                  <c:v>7200</c:v>
                </c:pt>
                <c:pt idx="6">
                  <c:v>7200</c:v>
                </c:pt>
                <c:pt idx="7">
                  <c:v>7200</c:v>
                </c:pt>
                <c:pt idx="8">
                  <c:v>7200</c:v>
                </c:pt>
                <c:pt idx="9">
                  <c:v>7200</c:v>
                </c:pt>
                <c:pt idx="10">
                  <c:v>7200</c:v>
                </c:pt>
                <c:pt idx="11">
                  <c:v>7200</c:v>
                </c:pt>
                <c:pt idx="12">
                  <c:v>7200</c:v>
                </c:pt>
                <c:pt idx="13">
                  <c:v>7200</c:v>
                </c:pt>
                <c:pt idx="14">
                  <c:v>7200</c:v>
                </c:pt>
                <c:pt idx="15">
                  <c:v>7200</c:v>
                </c:pt>
                <c:pt idx="16">
                  <c:v>7200</c:v>
                </c:pt>
                <c:pt idx="17">
                  <c:v>7200</c:v>
                </c:pt>
                <c:pt idx="18">
                  <c:v>7200</c:v>
                </c:pt>
                <c:pt idx="19">
                  <c:v>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290-49F9-AFCD-810679152259}"/>
            </c:ext>
          </c:extLst>
        </c:ser>
        <c:ser>
          <c:idx val="6"/>
          <c:order val="6"/>
          <c:tx>
            <c:strRef>
              <c:f>'Dem Cap'!$Q$3</c:f>
              <c:strCache>
                <c:ptCount val="1"/>
                <c:pt idx="0">
                  <c:v>Grade Sep Rail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Cap'!$Q$5:$Q$24</c:f>
              <c:numCache>
                <c:formatCode>#,##0</c:formatCode>
                <c:ptCount val="20"/>
                <c:pt idx="0">
                  <c:v>14400</c:v>
                </c:pt>
                <c:pt idx="1">
                  <c:v>14400</c:v>
                </c:pt>
                <c:pt idx="2">
                  <c:v>14400</c:v>
                </c:pt>
                <c:pt idx="3">
                  <c:v>14400</c:v>
                </c:pt>
                <c:pt idx="4">
                  <c:v>14400</c:v>
                </c:pt>
                <c:pt idx="5">
                  <c:v>14400</c:v>
                </c:pt>
                <c:pt idx="6">
                  <c:v>14400</c:v>
                </c:pt>
                <c:pt idx="7">
                  <c:v>14400</c:v>
                </c:pt>
                <c:pt idx="8">
                  <c:v>14400</c:v>
                </c:pt>
                <c:pt idx="9">
                  <c:v>14400</c:v>
                </c:pt>
                <c:pt idx="10">
                  <c:v>14400</c:v>
                </c:pt>
                <c:pt idx="11">
                  <c:v>14400</c:v>
                </c:pt>
                <c:pt idx="12">
                  <c:v>14400</c:v>
                </c:pt>
                <c:pt idx="13">
                  <c:v>14400</c:v>
                </c:pt>
                <c:pt idx="14">
                  <c:v>14400</c:v>
                </c:pt>
                <c:pt idx="15">
                  <c:v>14400</c:v>
                </c:pt>
                <c:pt idx="16">
                  <c:v>14400</c:v>
                </c:pt>
                <c:pt idx="17">
                  <c:v>14400</c:v>
                </c:pt>
                <c:pt idx="18">
                  <c:v>14400</c:v>
                </c:pt>
                <c:pt idx="19">
                  <c:v>14400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290-49F9-AFCD-810679152259}"/>
            </c:ext>
          </c:extLst>
        </c:ser>
        <c:ser>
          <c:idx val="7"/>
          <c:order val="7"/>
          <c:tx>
            <c:strRef>
              <c:f>'Dem Cap'!$R$3</c:f>
              <c:strCache>
                <c:ptCount val="1"/>
                <c:pt idx="0">
                  <c:v>Heavy Rail</c:v>
                </c:pt>
              </c:strCache>
            </c:strRef>
          </c:tx>
          <c:spPr>
            <a:ln w="254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Cap'!$B$5:$B$24</c:f>
              <c:strCache>
                <c:ptCount val="20"/>
                <c:pt idx="0">
                  <c:v>North Shore (-Onewa)</c:v>
                </c:pt>
                <c:pt idx="1">
                  <c:v>Isthmus</c:v>
                </c:pt>
                <c:pt idx="2">
                  <c:v>Northwest</c:v>
                </c:pt>
                <c:pt idx="4">
                  <c:v>STH</c:v>
                </c:pt>
                <c:pt idx="5">
                  <c:v>EAST</c:v>
                </c:pt>
                <c:pt idx="6">
                  <c:v>WEST</c:v>
                </c:pt>
                <c:pt idx="7">
                  <c:v>Onehunga Spur</c:v>
                </c:pt>
                <c:pt idx="9">
                  <c:v>Crosstown</c:v>
                </c:pt>
                <c:pt idx="10">
                  <c:v>UH: Constellation</c:v>
                </c:pt>
                <c:pt idx="11">
                  <c:v>UH: Henderson</c:v>
                </c:pt>
                <c:pt idx="12">
                  <c:v>A2B: SH20B</c:v>
                </c:pt>
                <c:pt idx="13">
                  <c:v>A2B: Te Irirangi</c:v>
                </c:pt>
                <c:pt idx="14">
                  <c:v>AMETI: Botany</c:v>
                </c:pt>
                <c:pt idx="15">
                  <c:v>AMETI: Howick</c:v>
                </c:pt>
                <c:pt idx="16">
                  <c:v>AMETI: Total</c:v>
                </c:pt>
                <c:pt idx="17">
                  <c:v>AMETI: Ellerslie</c:v>
                </c:pt>
                <c:pt idx="19">
                  <c:v>North Shore (+Onewa)</c:v>
                </c:pt>
              </c:strCache>
            </c:strRef>
          </c:cat>
          <c:val>
            <c:numRef>
              <c:f>'Dem Cap'!$R$5:$R$24</c:f>
              <c:numCache>
                <c:formatCode>#,##0</c:formatCode>
                <c:ptCount val="20"/>
                <c:pt idx="0">
                  <c:v>22000</c:v>
                </c:pt>
                <c:pt idx="1">
                  <c:v>22000</c:v>
                </c:pt>
                <c:pt idx="2">
                  <c:v>22000</c:v>
                </c:pt>
                <c:pt idx="3">
                  <c:v>22000</c:v>
                </c:pt>
                <c:pt idx="4">
                  <c:v>22000</c:v>
                </c:pt>
                <c:pt idx="5">
                  <c:v>22000</c:v>
                </c:pt>
                <c:pt idx="6">
                  <c:v>22000</c:v>
                </c:pt>
                <c:pt idx="7">
                  <c:v>22000</c:v>
                </c:pt>
                <c:pt idx="8">
                  <c:v>22000</c:v>
                </c:pt>
                <c:pt idx="9">
                  <c:v>22000</c:v>
                </c:pt>
                <c:pt idx="10">
                  <c:v>22000</c:v>
                </c:pt>
                <c:pt idx="11">
                  <c:v>22000</c:v>
                </c:pt>
                <c:pt idx="12">
                  <c:v>22000</c:v>
                </c:pt>
                <c:pt idx="13">
                  <c:v>22000</c:v>
                </c:pt>
                <c:pt idx="14">
                  <c:v>22000</c:v>
                </c:pt>
                <c:pt idx="15">
                  <c:v>22000</c:v>
                </c:pt>
                <c:pt idx="16">
                  <c:v>22000</c:v>
                </c:pt>
                <c:pt idx="17">
                  <c:v>22000</c:v>
                </c:pt>
                <c:pt idx="18">
                  <c:v>22000</c:v>
                </c:pt>
                <c:pt idx="19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290-49F9-AFCD-810679152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976496"/>
        <c:axId val="791976824"/>
      </c:lineChart>
      <c:catAx>
        <c:axId val="79197649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76824"/>
        <c:crosses val="autoZero"/>
        <c:auto val="1"/>
        <c:lblAlgn val="ctr"/>
        <c:lblOffset val="100"/>
        <c:noMultiLvlLbl val="0"/>
      </c:catAx>
      <c:valAx>
        <c:axId val="791976824"/>
        <c:scaling>
          <c:orientation val="minMax"/>
          <c:min val="0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7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1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800" b="1" spc="120" baseline="0"/>
              <a:t>ATAP CORRIDORS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12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'Dem Cap'!$K$3</c:f>
              <c:strCache>
                <c:ptCount val="1"/>
                <c:pt idx="0">
                  <c:v>PT Demand (1hr)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90-4F3F-B23B-3FF9103CBFE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C90-4F3F-B23B-3FF9103CBFE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90-4F3F-B23B-3FF9103CBFE6}"/>
              </c:ext>
            </c:extLst>
          </c:dPt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Cap'!$K$27:$K$44</c:f>
              <c:numCache>
                <c:formatCode>General</c:formatCode>
                <c:ptCount val="18"/>
                <c:pt idx="0" formatCode="#,##0">
                  <c:v>2669.4</c:v>
                </c:pt>
                <c:pt idx="1">
                  <c:v>1101.5999999999999</c:v>
                </c:pt>
                <c:pt idx="2">
                  <c:v>1081.8</c:v>
                </c:pt>
                <c:pt idx="4">
                  <c:v>1680</c:v>
                </c:pt>
                <c:pt idx="5">
                  <c:v>1560</c:v>
                </c:pt>
                <c:pt idx="6">
                  <c:v>1716.6</c:v>
                </c:pt>
                <c:pt idx="7">
                  <c:v>1422</c:v>
                </c:pt>
                <c:pt idx="8">
                  <c:v>1397.3999999999999</c:v>
                </c:pt>
                <c:pt idx="9">
                  <c:v>1450.8</c:v>
                </c:pt>
                <c:pt idx="10">
                  <c:v>0</c:v>
                </c:pt>
                <c:pt idx="11">
                  <c:v>0</c:v>
                </c:pt>
                <c:pt idx="12">
                  <c:v>733.19999999999993</c:v>
                </c:pt>
                <c:pt idx="13">
                  <c:v>680.4</c:v>
                </c:pt>
                <c:pt idx="14">
                  <c:v>0</c:v>
                </c:pt>
                <c:pt idx="15">
                  <c:v>2521.7999999999997</c:v>
                </c:pt>
                <c:pt idx="16">
                  <c:v>613.19999999999993</c:v>
                </c:pt>
                <c:pt idx="17">
                  <c:v>1666.2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0-4F3F-B23B-3FF9103CBFE6}"/>
            </c:ext>
          </c:extLst>
        </c:ser>
        <c:ser>
          <c:idx val="1"/>
          <c:order val="1"/>
          <c:tx>
            <c:strRef>
              <c:f>'Dem Cap'!$L$3</c:f>
              <c:strCache>
                <c:ptCount val="1"/>
                <c:pt idx="0">
                  <c:v>Car Demand (1hr)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Cap'!$L$27:$L$44</c:f>
              <c:numCache>
                <c:formatCode>General</c:formatCode>
                <c:ptCount val="18"/>
                <c:pt idx="0" formatCode="#,##0">
                  <c:v>4463.3999999999996</c:v>
                </c:pt>
                <c:pt idx="1">
                  <c:v>1914</c:v>
                </c:pt>
                <c:pt idx="2">
                  <c:v>5253.5999999999995</c:v>
                </c:pt>
                <c:pt idx="4">
                  <c:v>1393.8</c:v>
                </c:pt>
                <c:pt idx="5">
                  <c:v>1111.8</c:v>
                </c:pt>
                <c:pt idx="6">
                  <c:v>1270.2</c:v>
                </c:pt>
                <c:pt idx="7">
                  <c:v>1567.8</c:v>
                </c:pt>
                <c:pt idx="8">
                  <c:v>1644.6</c:v>
                </c:pt>
                <c:pt idx="9">
                  <c:v>991.19999999999993</c:v>
                </c:pt>
                <c:pt idx="10">
                  <c:v>6674.4</c:v>
                </c:pt>
                <c:pt idx="11">
                  <c:v>2008.8</c:v>
                </c:pt>
                <c:pt idx="12">
                  <c:v>1010.4</c:v>
                </c:pt>
                <c:pt idx="13">
                  <c:v>1774.8</c:v>
                </c:pt>
                <c:pt idx="14">
                  <c:v>2024.3999999999999</c:v>
                </c:pt>
                <c:pt idx="15">
                  <c:v>790.19999999999993</c:v>
                </c:pt>
                <c:pt idx="16">
                  <c:v>640.79999999999995</c:v>
                </c:pt>
                <c:pt idx="17">
                  <c:v>871.8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0-4F3F-B23B-3FF9103CBFE6}"/>
            </c:ext>
          </c:extLst>
        </c:ser>
        <c:ser>
          <c:idx val="2"/>
          <c:order val="2"/>
          <c:tx>
            <c:strRef>
              <c:f>'Dem Cap'!$M$3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Cap'!$M$27:$M$44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2-0C90-4F3F-B23B-3FF9103C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91976496"/>
        <c:axId val="791976824"/>
      </c:barChart>
      <c:lineChart>
        <c:grouping val="standard"/>
        <c:varyColors val="0"/>
        <c:ser>
          <c:idx val="3"/>
          <c:order val="3"/>
          <c:tx>
            <c:strRef>
              <c:f>'Dem Cap'!$N$3</c:f>
              <c:strCache>
                <c:ptCount val="1"/>
                <c:pt idx="0">
                  <c:v>Bus Lanes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Cap'!$N$27:$N$44</c:f>
              <c:numCache>
                <c:formatCode>#,##0</c:formatCode>
                <c:ptCount val="18"/>
                <c:pt idx="0">
                  <c:v>2400</c:v>
                </c:pt>
                <c:pt idx="1">
                  <c:v>2400</c:v>
                </c:pt>
                <c:pt idx="2">
                  <c:v>2400</c:v>
                </c:pt>
                <c:pt idx="3">
                  <c:v>2400</c:v>
                </c:pt>
                <c:pt idx="4">
                  <c:v>2400</c:v>
                </c:pt>
                <c:pt idx="5">
                  <c:v>2400</c:v>
                </c:pt>
                <c:pt idx="6">
                  <c:v>2400</c:v>
                </c:pt>
                <c:pt idx="7">
                  <c:v>2400</c:v>
                </c:pt>
                <c:pt idx="8">
                  <c:v>2400</c:v>
                </c:pt>
                <c:pt idx="9">
                  <c:v>2400</c:v>
                </c:pt>
                <c:pt idx="10">
                  <c:v>2400</c:v>
                </c:pt>
                <c:pt idx="11">
                  <c:v>2400</c:v>
                </c:pt>
                <c:pt idx="12">
                  <c:v>2400</c:v>
                </c:pt>
                <c:pt idx="13">
                  <c:v>2400</c:v>
                </c:pt>
                <c:pt idx="14">
                  <c:v>2400</c:v>
                </c:pt>
                <c:pt idx="15">
                  <c:v>2400</c:v>
                </c:pt>
                <c:pt idx="16">
                  <c:v>2400</c:v>
                </c:pt>
                <c:pt idx="17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90-4F3F-B23B-3FF9103CBFE6}"/>
            </c:ext>
          </c:extLst>
        </c:ser>
        <c:ser>
          <c:idx val="4"/>
          <c:order val="4"/>
          <c:tx>
            <c:strRef>
              <c:f>'Dem Cap'!$O$3</c:f>
              <c:strCache>
                <c:ptCount val="1"/>
                <c:pt idx="0">
                  <c:v>Busway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Cap'!$O$27:$O$44</c:f>
              <c:numCache>
                <c:formatCode>#,##0</c:formatCode>
                <c:ptCount val="18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90-4F3F-B23B-3FF9103CBFE6}"/>
            </c:ext>
          </c:extLst>
        </c:ser>
        <c:ser>
          <c:idx val="5"/>
          <c:order val="5"/>
          <c:tx>
            <c:strRef>
              <c:f>'Dem Cap'!$P$3</c:f>
              <c:strCache>
                <c:ptCount val="1"/>
                <c:pt idx="0">
                  <c:v>On Street Rail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Cap'!$P$27:$P$44</c:f>
              <c:numCache>
                <c:formatCode>#,##0</c:formatCode>
                <c:ptCount val="18"/>
                <c:pt idx="0">
                  <c:v>7200</c:v>
                </c:pt>
                <c:pt idx="1">
                  <c:v>7200</c:v>
                </c:pt>
                <c:pt idx="2">
                  <c:v>7200</c:v>
                </c:pt>
                <c:pt idx="3">
                  <c:v>7200</c:v>
                </c:pt>
                <c:pt idx="4">
                  <c:v>7200</c:v>
                </c:pt>
                <c:pt idx="5">
                  <c:v>7200</c:v>
                </c:pt>
                <c:pt idx="6">
                  <c:v>7200</c:v>
                </c:pt>
                <c:pt idx="7">
                  <c:v>7200</c:v>
                </c:pt>
                <c:pt idx="8">
                  <c:v>7200</c:v>
                </c:pt>
                <c:pt idx="9">
                  <c:v>7200</c:v>
                </c:pt>
                <c:pt idx="10">
                  <c:v>7200</c:v>
                </c:pt>
                <c:pt idx="11">
                  <c:v>7200</c:v>
                </c:pt>
                <c:pt idx="12">
                  <c:v>7200</c:v>
                </c:pt>
                <c:pt idx="13">
                  <c:v>7200</c:v>
                </c:pt>
                <c:pt idx="14">
                  <c:v>7200</c:v>
                </c:pt>
                <c:pt idx="15">
                  <c:v>7200</c:v>
                </c:pt>
                <c:pt idx="16">
                  <c:v>7200</c:v>
                </c:pt>
                <c:pt idx="17">
                  <c:v>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90-4F3F-B23B-3FF9103CBFE6}"/>
            </c:ext>
          </c:extLst>
        </c:ser>
        <c:ser>
          <c:idx val="6"/>
          <c:order val="6"/>
          <c:tx>
            <c:strRef>
              <c:f>'Dem Cap'!$Q$3</c:f>
              <c:strCache>
                <c:ptCount val="1"/>
                <c:pt idx="0">
                  <c:v>Grade Sep Rail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Cap'!$Q$27:$Q$44</c:f>
              <c:numCache>
                <c:formatCode>#,##0</c:formatCode>
                <c:ptCount val="18"/>
                <c:pt idx="0">
                  <c:v>14400</c:v>
                </c:pt>
                <c:pt idx="1">
                  <c:v>14400</c:v>
                </c:pt>
                <c:pt idx="2">
                  <c:v>14400</c:v>
                </c:pt>
                <c:pt idx="3">
                  <c:v>14400</c:v>
                </c:pt>
                <c:pt idx="4">
                  <c:v>14400</c:v>
                </c:pt>
                <c:pt idx="5">
                  <c:v>14400</c:v>
                </c:pt>
                <c:pt idx="6">
                  <c:v>14400</c:v>
                </c:pt>
                <c:pt idx="7">
                  <c:v>14400</c:v>
                </c:pt>
                <c:pt idx="8">
                  <c:v>14400</c:v>
                </c:pt>
                <c:pt idx="9">
                  <c:v>14400</c:v>
                </c:pt>
                <c:pt idx="10">
                  <c:v>14400</c:v>
                </c:pt>
                <c:pt idx="11">
                  <c:v>14400</c:v>
                </c:pt>
                <c:pt idx="12">
                  <c:v>14400</c:v>
                </c:pt>
                <c:pt idx="13">
                  <c:v>14400</c:v>
                </c:pt>
                <c:pt idx="14">
                  <c:v>14400</c:v>
                </c:pt>
                <c:pt idx="15">
                  <c:v>14400</c:v>
                </c:pt>
                <c:pt idx="16">
                  <c:v>14400</c:v>
                </c:pt>
                <c:pt idx="17">
                  <c:v>14400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90-4F3F-B23B-3FF9103CBFE6}"/>
            </c:ext>
          </c:extLst>
        </c:ser>
        <c:ser>
          <c:idx val="7"/>
          <c:order val="7"/>
          <c:tx>
            <c:strRef>
              <c:f>'Dem Cap'!$R$3</c:f>
              <c:strCache>
                <c:ptCount val="1"/>
                <c:pt idx="0">
                  <c:v>Heavy Rail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'Dem Cap'!$B$27:$B$44</c:f>
              <c:strCache>
                <c:ptCount val="18"/>
                <c:pt idx="0">
                  <c:v>AMETI: Total</c:v>
                </c:pt>
                <c:pt idx="1">
                  <c:v>A2B: Te Irirangi</c:v>
                </c:pt>
                <c:pt idx="2">
                  <c:v>UH: Constellation</c:v>
                </c:pt>
                <c:pt idx="4">
                  <c:v>Sandringham</c:v>
                </c:pt>
                <c:pt idx="5">
                  <c:v>Mt Eden</c:v>
                </c:pt>
                <c:pt idx="6">
                  <c:v>Manukau</c:v>
                </c:pt>
                <c:pt idx="7">
                  <c:v>Remerua </c:v>
                </c:pt>
                <c:pt idx="8">
                  <c:v>Great South</c:v>
                </c:pt>
                <c:pt idx="9">
                  <c:v>Tamaki</c:v>
                </c:pt>
                <c:pt idx="10">
                  <c:v>SH1</c:v>
                </c:pt>
                <c:pt idx="11">
                  <c:v>Mill Road</c:v>
                </c:pt>
                <c:pt idx="12">
                  <c:v>Papatoetoe to Māngere</c:v>
                </c:pt>
                <c:pt idx="13">
                  <c:v>Papatoetoe to Ōtara</c:v>
                </c:pt>
                <c:pt idx="14">
                  <c:v>Roscommon + Mahia</c:v>
                </c:pt>
                <c:pt idx="15">
                  <c:v>Onewa: Total</c:v>
                </c:pt>
                <c:pt idx="16">
                  <c:v>Onewa: Glenfield</c:v>
                </c:pt>
                <c:pt idx="17">
                  <c:v>Onewa: Beachhaven</c:v>
                </c:pt>
              </c:strCache>
            </c:strRef>
          </c:cat>
          <c:val>
            <c:numRef>
              <c:f>'Dem Cap'!$R$27:$R$44</c:f>
              <c:numCache>
                <c:formatCode>#,##0</c:formatCode>
                <c:ptCount val="18"/>
                <c:pt idx="0">
                  <c:v>22000</c:v>
                </c:pt>
                <c:pt idx="1">
                  <c:v>22000</c:v>
                </c:pt>
                <c:pt idx="2">
                  <c:v>22000</c:v>
                </c:pt>
                <c:pt idx="3">
                  <c:v>22000</c:v>
                </c:pt>
                <c:pt idx="4">
                  <c:v>22000</c:v>
                </c:pt>
                <c:pt idx="5">
                  <c:v>22000</c:v>
                </c:pt>
                <c:pt idx="6">
                  <c:v>22000</c:v>
                </c:pt>
                <c:pt idx="7">
                  <c:v>22000</c:v>
                </c:pt>
                <c:pt idx="8">
                  <c:v>22000</c:v>
                </c:pt>
                <c:pt idx="9">
                  <c:v>22000</c:v>
                </c:pt>
                <c:pt idx="10">
                  <c:v>22000</c:v>
                </c:pt>
                <c:pt idx="11">
                  <c:v>22000</c:v>
                </c:pt>
                <c:pt idx="12">
                  <c:v>22000</c:v>
                </c:pt>
                <c:pt idx="13">
                  <c:v>22000</c:v>
                </c:pt>
                <c:pt idx="14">
                  <c:v>22000</c:v>
                </c:pt>
                <c:pt idx="15">
                  <c:v>22000</c:v>
                </c:pt>
                <c:pt idx="16">
                  <c:v>22000</c:v>
                </c:pt>
                <c:pt idx="17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90-4F3F-B23B-3FF9103C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976496"/>
        <c:axId val="791976824"/>
      </c:lineChart>
      <c:catAx>
        <c:axId val="79197649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76824"/>
        <c:crosses val="autoZero"/>
        <c:auto val="1"/>
        <c:lblAlgn val="ctr"/>
        <c:lblOffset val="100"/>
        <c:noMultiLvlLbl val="0"/>
      </c:catAx>
      <c:valAx>
        <c:axId val="791976824"/>
        <c:scaling>
          <c:orientation val="minMax"/>
          <c:max val="15000"/>
          <c:min val="0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76496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214591</xdr:rowOff>
    </xdr:from>
    <xdr:to>
      <xdr:col>13</xdr:col>
      <xdr:colOff>1310030</xdr:colOff>
      <xdr:row>15</xdr:row>
      <xdr:rowOff>854473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763F23A-CF1C-4DC2-81B0-45B57ED391B7}"/>
            </a:ext>
          </a:extLst>
        </xdr:cNvPr>
        <xdr:cNvSpPr/>
      </xdr:nvSpPr>
      <xdr:spPr>
        <a:xfrm>
          <a:off x="1557618" y="8562973"/>
          <a:ext cx="15732000" cy="864000"/>
        </a:xfrm>
        <a:prstGeom prst="rect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86832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73662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60494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47325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34157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20988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07819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894651" algn="l" defTabSz="486832" rtl="0" eaLnBrk="1" latinLnBrk="0" hangingPunct="1">
            <a:defRPr sz="19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en-NZ" sz="1100" b="1" i="1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 assessed</a:t>
          </a:r>
          <a:r>
            <a:rPr lang="en-NZ" sz="1100" b="1" i="1" kern="12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at corridor level</a:t>
          </a:r>
          <a:endParaRPr lang="en-NZ" sz="6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25319</xdr:rowOff>
    </xdr:from>
    <xdr:to>
      <xdr:col>26</xdr:col>
      <xdr:colOff>142874</xdr:colOff>
      <xdr:row>84</xdr:row>
      <xdr:rowOff>121592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2542B3-60D3-416C-A3BB-DB36682BB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428006</xdr:colOff>
      <xdr:row>48</xdr:row>
      <xdr:rowOff>69273</xdr:rowOff>
    </xdr:from>
    <xdr:to>
      <xdr:col>19</xdr:col>
      <xdr:colOff>0</xdr:colOff>
      <xdr:row>84</xdr:row>
      <xdr:rowOff>108857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E5FAFF-EE20-43A9-8804-309856373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0</xdr:rowOff>
    </xdr:from>
    <xdr:to>
      <xdr:col>6</xdr:col>
      <xdr:colOff>1424400</xdr:colOff>
      <xdr:row>44</xdr:row>
      <xdr:rowOff>134430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DCCDAEF-9547-4E7C-8AB7-3B7EB60AE0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120" t="2384"/>
        <a:stretch/>
      </xdr:blipFill>
      <xdr:spPr>
        <a:xfrm>
          <a:off x="9124950" y="4048125"/>
          <a:ext cx="4320000" cy="321100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10</xdr:col>
      <xdr:colOff>1475250</xdr:colOff>
      <xdr:row>47</xdr:row>
      <xdr:rowOff>39411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06170EE-2D6C-4FFC-B5D5-45BA53A40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4048125"/>
          <a:ext cx="4428000" cy="36017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</xdr:row>
      <xdr:rowOff>0</xdr:rowOff>
    </xdr:from>
    <xdr:to>
      <xdr:col>17</xdr:col>
      <xdr:colOff>57488</xdr:colOff>
      <xdr:row>58</xdr:row>
      <xdr:rowOff>150286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52C388-822E-4363-A14B-3E3B0ACD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5143" y="3592286"/>
          <a:ext cx="8180952" cy="60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0</xdr:rowOff>
    </xdr:from>
    <xdr:to>
      <xdr:col>6</xdr:col>
      <xdr:colOff>33251</xdr:colOff>
      <xdr:row>36</xdr:row>
      <xdr:rowOff>112059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EF665D-E551-4446-A84E-705A570FB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3294" y="4078941"/>
          <a:ext cx="1478810" cy="168088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</xdr:row>
      <xdr:rowOff>1</xdr:rowOff>
    </xdr:from>
    <xdr:to>
      <xdr:col>4</xdr:col>
      <xdr:colOff>1411941</xdr:colOff>
      <xdr:row>36</xdr:row>
      <xdr:rowOff>56393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9C08D7-B5F9-4964-8952-19B4E6BB8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735" y="4078942"/>
          <a:ext cx="1411941" cy="16252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lly Smith" id="{249A0725-C70D-48B5-A661-B0FE08500129}" userId="S::Holly.Smith@aurecongroup.com::29d3061b-fe86-4bc6-8b1d-0d90c7238fbc" providerId="AD"/>
</personList>
</file>

<file path=xl/theme/theme1.xml><?xml version="1.0" encoding="utf-8"?>
<a:theme xmlns:a="http://schemas.openxmlformats.org/drawingml/2006/main" name="Office Theme">
  <a:themeElements>
    <a:clrScheme name="ATAP">
      <a:dk1>
        <a:srgbClr val="000000"/>
      </a:dk1>
      <a:lt1>
        <a:sysClr val="window" lastClr="FFFFFF"/>
      </a:lt1>
      <a:dk2>
        <a:srgbClr val="283D51"/>
      </a:dk2>
      <a:lt2>
        <a:srgbClr val="DFDFDF"/>
      </a:lt2>
      <a:accent1>
        <a:srgbClr val="346C35"/>
      </a:accent1>
      <a:accent2>
        <a:srgbClr val="428FBF"/>
      </a:accent2>
      <a:accent3>
        <a:srgbClr val="87A03E"/>
      </a:accent3>
      <a:accent4>
        <a:srgbClr val="D34439"/>
      </a:accent4>
      <a:accent5>
        <a:srgbClr val="FFD100"/>
      </a:accent5>
      <a:accent6>
        <a:srgbClr val="ED8B00"/>
      </a:accent6>
      <a:hlink>
        <a:srgbClr val="0070C0"/>
      </a:hlink>
      <a:folHlink>
        <a:srgbClr val="C0C0C0"/>
      </a:folHlink>
    </a:clrScheme>
    <a:fontScheme name="Arial Nova">
      <a:majorFont>
        <a:latin typeface="Arial Nova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1-07-14T04:51:09.30" personId="{249A0725-C70D-48B5-A661-B0FE08500129}" id="{5FBB9C9F-373D-465A-8E15-E30EEFC4AA10}">
    <text>(-Onewa)</text>
  </threadedComment>
  <threadedComment ref="C2" dT="2021-07-20T21:54:22.41" personId="{249A0725-C70D-48B5-A661-B0FE08500129}" id="{AEA3DA9A-3E4B-4FAE-84CE-ADDA51A934E4}" parentId="{5FBB9C9F-373D-465A-8E15-E30EEFC4AA10}">
    <text>Considering not sure about RTN + Busway mix, this assesses them as one corridor</text>
  </threadedComment>
  <threadedComment ref="G2" dT="2021-07-15T02:40:27.74" personId="{249A0725-C70D-48B5-A661-B0FE08500129}" id="{1C93294A-CCA9-4ED6-B0C9-ED23806FBF89}">
    <text>Some southern line services via eastern line</text>
  </threadedComment>
  <threadedComment ref="A3" dT="2021-07-20T21:56:45.53" personId="{249A0725-C70D-48B5-A661-B0FE08500129}" id="{2CCE6032-10C4-42E8-9BA5-9EAD908C00A5}">
    <text>6 measures which areas - should this one remeasure?</text>
  </threadedComment>
  <threadedComment ref="F5" dT="2021-07-15T04:33:41.43" personId="{249A0725-C70D-48B5-A661-B0FE08500129}" id="{DFEE392D-0DE7-4F2D-8F27-8460BF005965}">
    <text>Some STH services on western line approach</text>
  </threadedComment>
  <threadedComment ref="C26" dT="2021-07-14T04:51:09.30" personId="{249A0725-C70D-48B5-A661-B0FE08500129}" id="{2A8F7072-CCEF-4960-AEE8-2DC24CFADB41}">
    <text>(-Onewa)</text>
  </threadedComment>
  <threadedComment ref="G26" dT="2021-07-15T02:40:27.74" personId="{249A0725-C70D-48B5-A661-B0FE08500129}" id="{F1A73CF8-AD9F-451A-A20C-AA11F340605A}">
    <text>Some southern line services via eastern line</text>
  </threadedComment>
  <threadedComment ref="AF26" dT="2021-07-14T04:51:09.30" personId="{249A0725-C70D-48B5-A661-B0FE08500129}" id="{09DE1F4D-6A17-451E-8C59-34ED29624012}">
    <text>(-Onewa)</text>
  </threadedComment>
  <threadedComment ref="AL26" dT="2021-07-15T02:40:27.74" personId="{249A0725-C70D-48B5-A661-B0FE08500129}" id="{6DFF9117-D505-4E77-ABB5-918FCEECF5CF}">
    <text>Some southern line services via eastern line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9" dT="2021-07-15T04:42:23.46" personId="{249A0725-C70D-48B5-A661-B0FE08500129}" id="{F45722FD-F094-41AF-AEAB-006F4930CB0A}">
    <text>+1,600 from Manukau
+17,200 from South of Puhinui
+(19,700 - 12,600=7,100) from Eastern Section</text>
  </threadedComment>
  <threadedComment ref="E14" dT="2021-06-10T22:58:46.57" personId="{249A0725-C70D-48B5-A661-B0FE08500129}" id="{AC7EB698-0236-414F-B45F-7CCD15457B32}">
    <text>66</text>
  </threadedComment>
  <threadedComment ref="B33" dT="2021-07-20T22:44:50.55" personId="{249A0725-C70D-48B5-A661-B0FE08500129}" id="{215B85F9-FF59-4AA8-A957-BBA65240BC5D}">
    <text>(-Newmarket)</text>
  </threadedComment>
  <threadedComment ref="AB33" dT="2021-07-20T22:44:50.55" personId="{249A0725-C70D-48B5-A661-B0FE08500129}" id="{1AD4B1AF-8A6F-4676-A524-BB52C97EF8F5}">
    <text>(-Newmarket)</text>
  </threadedComment>
  <threadedComment ref="AC33" dT="2021-07-20T22:45:02.17" personId="{249A0725-C70D-48B5-A661-B0FE08500129}" id="{98425110-A88C-4911-AAAF-CF83F91BB65E}">
    <text>(-Newmarket)</text>
  </threadedComment>
  <threadedComment ref="AD33" dT="2021-07-20T22:45:11.62" personId="{249A0725-C70D-48B5-A661-B0FE08500129}" id="{58D18E3C-3C32-4B1D-B34A-07CFB20D421F}">
    <text>(-Newmarket)</text>
  </threadedComment>
  <threadedComment ref="B34" dT="2021-07-20T22:45:02.17" personId="{249A0725-C70D-48B5-A661-B0FE08500129}" id="{FAD1BC03-7A3A-4DDB-824A-4A3E1CB583B6}">
    <text>(-Newmarket)</text>
  </threadedComment>
  <threadedComment ref="B35" dT="2021-07-20T22:45:11.62" personId="{249A0725-C70D-48B5-A661-B0FE08500129}" id="{3B696928-671E-452A-B585-F52043CB982F}">
    <text>(-Newmarket)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7" dT="2021-07-15T04:42:23.46" personId="{249A0725-C70D-48B5-A661-B0FE08500129}" id="{E8014136-47C3-4A4D-8923-BA84EFF7AB4E}">
    <text>+1,600 from Manukau
+17,200 from South of Puhinui
+(19,700 - 12,600=7,100) from Eastern Section</text>
  </threadedComment>
  <threadedComment ref="D12" dT="2021-06-10T22:58:46.57" personId="{249A0725-C70D-48B5-A661-B0FE08500129}" id="{48FDDFC2-FFCC-4D35-A044-2832C6EA66B5}">
    <text>66</text>
  </threadedComment>
  <threadedComment ref="G12" dT="2021-06-10T22:58:46.57" personId="{249A0725-C70D-48B5-A661-B0FE08500129}" id="{45DCBE81-1994-48D5-BE58-DFFF62364270}">
    <text>66</text>
  </threadedComment>
  <threadedComment ref="J12" dT="2021-06-10T22:58:46.57" personId="{249A0725-C70D-48B5-A661-B0FE08500129}" id="{75D5A310-04F0-462D-8FE2-A997AF4F36A4}">
    <text>66</text>
  </threadedComment>
  <threadedComment ref="B31" dT="2021-07-20T22:44:50.55" personId="{249A0725-C70D-48B5-A661-B0FE08500129}" id="{EFB23479-CA8B-4233-AE4B-E5BA9BFF1F9E}">
    <text>(-Newmarket)</text>
  </threadedComment>
  <threadedComment ref="B32" dT="2021-07-20T22:45:02.17" personId="{249A0725-C70D-48B5-A661-B0FE08500129}" id="{167807DF-72CC-425D-A61C-78EAC31B5393}">
    <text>(-Newmarket)</text>
  </threadedComment>
  <threadedComment ref="B33" dT="2021-07-20T22:45:11.62" personId="{249A0725-C70D-48B5-A661-B0FE08500129}" id="{BFF2A581-6047-40A4-9200-574A031639BA}">
    <text>(-Newmarket)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2928-99E4-424C-BB4D-2FD849EBBD45}">
  <dimension ref="A1:AU80"/>
  <sheetViews>
    <sheetView tabSelected="1" zoomScale="115" zoomScaleNormal="115" workbookViewId="0">
      <pane xSplit="1" ySplit="2" topLeftCell="AJ3" activePane="bottomRight" state="frozen"/>
      <selection pane="topRight" activeCell="B1" sqref="B1"/>
      <selection pane="bottomLeft" activeCell="A3" sqref="A3"/>
      <selection pane="bottomRight" activeCell="S36" sqref="S36"/>
    </sheetView>
  </sheetViews>
  <sheetFormatPr defaultColWidth="9.1796875" defaultRowHeight="13" x14ac:dyDescent="0.3"/>
  <cols>
    <col min="1" max="1" width="23.26953125" style="3" bestFit="1" customWidth="1"/>
    <col min="2" max="2" width="17.81640625" style="54" customWidth="1"/>
    <col min="3" max="14" width="19.7265625" style="3" customWidth="1"/>
    <col min="15" max="16" width="7.1796875" style="3" customWidth="1"/>
    <col min="17" max="29" width="18.1796875" style="3" customWidth="1"/>
    <col min="30" max="31" width="9.1796875" style="3"/>
    <col min="32" max="33" width="19.26953125" style="3" customWidth="1"/>
    <col min="34" max="35" width="19.7265625" style="3" customWidth="1"/>
    <col min="36" max="38" width="13.26953125" style="3" customWidth="1"/>
    <col min="39" max="47" width="19.54296875" style="3" customWidth="1"/>
    <col min="48" max="16384" width="9.1796875" style="3"/>
  </cols>
  <sheetData>
    <row r="1" spans="1:47" ht="29.25" customHeight="1" x14ac:dyDescent="0.3">
      <c r="A1" s="1"/>
      <c r="B1" s="6"/>
      <c r="C1" s="67" t="s">
        <v>387</v>
      </c>
      <c r="D1" s="67"/>
      <c r="E1" s="67"/>
      <c r="F1" s="67" t="s">
        <v>97</v>
      </c>
      <c r="G1" s="67"/>
      <c r="H1" s="67"/>
      <c r="I1" s="67"/>
      <c r="J1" s="67" t="s">
        <v>36</v>
      </c>
      <c r="K1" s="67"/>
      <c r="L1" s="67"/>
      <c r="M1" s="67"/>
      <c r="N1" s="67"/>
      <c r="O1" s="1"/>
      <c r="P1" s="1"/>
      <c r="Q1" s="65" t="s">
        <v>98</v>
      </c>
      <c r="R1" s="65"/>
      <c r="S1" s="65"/>
      <c r="T1" s="65"/>
      <c r="U1" s="65"/>
      <c r="V1" s="65"/>
      <c r="W1" s="65" t="s">
        <v>99</v>
      </c>
      <c r="X1" s="65"/>
      <c r="Y1" s="65" t="s">
        <v>100</v>
      </c>
      <c r="Z1" s="65"/>
      <c r="AA1" s="65"/>
      <c r="AB1" s="65"/>
      <c r="AC1" s="65"/>
      <c r="AF1" s="65" t="s">
        <v>101</v>
      </c>
      <c r="AG1" s="65"/>
      <c r="AH1" s="65" t="s">
        <v>102</v>
      </c>
      <c r="AI1" s="65"/>
      <c r="AJ1" s="65" t="s">
        <v>103</v>
      </c>
      <c r="AK1" s="65"/>
      <c r="AL1" s="65"/>
      <c r="AM1" s="65" t="s">
        <v>104</v>
      </c>
      <c r="AN1" s="65"/>
      <c r="AO1" s="65"/>
      <c r="AP1" s="65"/>
      <c r="AQ1" s="65" t="s">
        <v>105</v>
      </c>
      <c r="AR1" s="65"/>
      <c r="AS1" s="65"/>
      <c r="AT1" s="62"/>
      <c r="AU1" s="62"/>
    </row>
    <row r="2" spans="1:47" ht="45" customHeight="1" x14ac:dyDescent="0.3">
      <c r="A2" s="1"/>
      <c r="B2" s="6"/>
      <c r="C2" s="23" t="s">
        <v>106</v>
      </c>
      <c r="D2" s="23" t="s">
        <v>23</v>
      </c>
      <c r="E2" s="23" t="s">
        <v>26</v>
      </c>
      <c r="F2" s="23" t="s">
        <v>107</v>
      </c>
      <c r="G2" s="23" t="s">
        <v>108</v>
      </c>
      <c r="H2" s="23" t="s">
        <v>109</v>
      </c>
      <c r="I2" s="23" t="s">
        <v>35</v>
      </c>
      <c r="J2" s="23" t="s">
        <v>37</v>
      </c>
      <c r="K2" s="23" t="s">
        <v>110</v>
      </c>
      <c r="L2" s="23" t="s">
        <v>111</v>
      </c>
      <c r="M2" s="23" t="s">
        <v>112</v>
      </c>
      <c r="N2" s="23" t="s">
        <v>113</v>
      </c>
      <c r="O2" s="8"/>
      <c r="P2" s="8"/>
      <c r="Q2" s="2" t="s">
        <v>55</v>
      </c>
      <c r="R2" s="2" t="s">
        <v>57</v>
      </c>
      <c r="S2" s="2" t="s">
        <v>58</v>
      </c>
      <c r="T2" s="2" t="s">
        <v>63</v>
      </c>
      <c r="U2" s="2" t="s">
        <v>114</v>
      </c>
      <c r="V2" s="2" t="s">
        <v>62</v>
      </c>
      <c r="W2" s="2" t="s">
        <v>76</v>
      </c>
      <c r="X2" s="2" t="s">
        <v>79</v>
      </c>
      <c r="Y2" s="2" t="s">
        <v>66</v>
      </c>
      <c r="Z2" s="2" t="s">
        <v>69</v>
      </c>
      <c r="AA2" s="2" t="s">
        <v>115</v>
      </c>
      <c r="AB2" s="2" t="s">
        <v>81</v>
      </c>
      <c r="AC2" s="2" t="s">
        <v>72</v>
      </c>
      <c r="AE2" s="4"/>
      <c r="AF2" s="2" t="s">
        <v>116</v>
      </c>
      <c r="AG2" s="2" t="s">
        <v>117</v>
      </c>
      <c r="AH2" s="2" t="s">
        <v>118</v>
      </c>
      <c r="AI2" s="2" t="s">
        <v>119</v>
      </c>
      <c r="AJ2" s="2" t="s">
        <v>120</v>
      </c>
      <c r="AK2" s="2" t="s">
        <v>121</v>
      </c>
      <c r="AL2" s="2" t="s">
        <v>122</v>
      </c>
      <c r="AM2" s="2" t="s">
        <v>123</v>
      </c>
      <c r="AN2" s="2" t="s">
        <v>124</v>
      </c>
      <c r="AO2" s="2" t="s">
        <v>125</v>
      </c>
      <c r="AP2" s="2" t="s">
        <v>126</v>
      </c>
      <c r="AQ2" s="2" t="s">
        <v>127</v>
      </c>
      <c r="AR2" s="2" t="s">
        <v>128</v>
      </c>
      <c r="AS2" s="2" t="s">
        <v>129</v>
      </c>
      <c r="AT2" s="2" t="s">
        <v>130</v>
      </c>
      <c r="AU2" s="2" t="s">
        <v>131</v>
      </c>
    </row>
    <row r="3" spans="1:47" s="36" customFormat="1" ht="17.25" customHeight="1" x14ac:dyDescent="0.3">
      <c r="A3" s="68" t="s">
        <v>132</v>
      </c>
      <c r="B3" s="69" t="s">
        <v>133</v>
      </c>
      <c r="C3" s="24">
        <v>7</v>
      </c>
      <c r="D3" s="24">
        <v>6</v>
      </c>
      <c r="E3" s="24">
        <v>7</v>
      </c>
      <c r="F3" s="24">
        <v>7</v>
      </c>
      <c r="G3" s="24">
        <v>5</v>
      </c>
      <c r="H3" s="24">
        <v>7</v>
      </c>
      <c r="I3" s="24">
        <v>2</v>
      </c>
      <c r="J3" s="24">
        <v>3</v>
      </c>
      <c r="K3" s="24">
        <v>3</v>
      </c>
      <c r="L3" s="24">
        <v>6</v>
      </c>
      <c r="M3" s="24">
        <v>5</v>
      </c>
      <c r="N3" s="24">
        <v>2</v>
      </c>
      <c r="Q3" s="24">
        <v>1</v>
      </c>
      <c r="R3" s="24">
        <v>1</v>
      </c>
      <c r="S3" s="24">
        <v>5</v>
      </c>
      <c r="T3" s="24">
        <v>1</v>
      </c>
      <c r="U3" s="24">
        <v>2</v>
      </c>
      <c r="V3" s="24">
        <v>1</v>
      </c>
      <c r="W3" s="24">
        <v>5</v>
      </c>
      <c r="X3" s="24">
        <v>4</v>
      </c>
      <c r="Y3" s="24">
        <v>3</v>
      </c>
      <c r="Z3" s="24">
        <v>2</v>
      </c>
      <c r="AA3" s="24">
        <v>3</v>
      </c>
      <c r="AB3" s="24">
        <v>1</v>
      </c>
      <c r="AC3" s="24">
        <v>3</v>
      </c>
      <c r="AF3" s="24">
        <v>3</v>
      </c>
      <c r="AG3" s="24">
        <v>3</v>
      </c>
      <c r="AH3" s="24">
        <v>3</v>
      </c>
      <c r="AI3" s="24">
        <v>4</v>
      </c>
      <c r="AJ3" s="24">
        <v>3</v>
      </c>
      <c r="AK3" s="24">
        <v>3</v>
      </c>
      <c r="AL3" s="24">
        <v>2</v>
      </c>
      <c r="AM3" s="24">
        <v>4</v>
      </c>
      <c r="AN3" s="24">
        <v>3</v>
      </c>
      <c r="AO3" s="24">
        <v>2</v>
      </c>
      <c r="AP3" s="24">
        <v>3</v>
      </c>
      <c r="AQ3" s="24">
        <v>3</v>
      </c>
      <c r="AR3" s="24">
        <v>3</v>
      </c>
      <c r="AS3" s="24">
        <v>3</v>
      </c>
      <c r="AT3" s="24">
        <v>3</v>
      </c>
      <c r="AU3" s="24">
        <v>1</v>
      </c>
    </row>
    <row r="4" spans="1:47" s="32" customFormat="1" ht="84" x14ac:dyDescent="0.3">
      <c r="A4" s="68"/>
      <c r="B4" s="69"/>
      <c r="C4" s="26" t="s">
        <v>134</v>
      </c>
      <c r="D4" s="26" t="s">
        <v>135</v>
      </c>
      <c r="E4" s="26" t="s">
        <v>136</v>
      </c>
      <c r="F4" s="26" t="s">
        <v>137</v>
      </c>
      <c r="G4" s="26" t="s">
        <v>138</v>
      </c>
      <c r="H4" s="26" t="s">
        <v>139</v>
      </c>
      <c r="I4" s="26" t="s">
        <v>140</v>
      </c>
      <c r="J4" s="26" t="s">
        <v>141</v>
      </c>
      <c r="K4" s="26" t="s">
        <v>142</v>
      </c>
      <c r="L4" s="26" t="s">
        <v>143</v>
      </c>
      <c r="M4" s="26" t="s">
        <v>144</v>
      </c>
      <c r="N4" s="26" t="s">
        <v>145</v>
      </c>
      <c r="O4" s="21"/>
      <c r="P4" s="21"/>
      <c r="Q4" s="35" t="s">
        <v>146</v>
      </c>
      <c r="R4" s="35" t="s">
        <v>146</v>
      </c>
      <c r="S4" s="27" t="s">
        <v>147</v>
      </c>
      <c r="T4" s="27" t="s">
        <v>148</v>
      </c>
      <c r="U4" s="26" t="s">
        <v>149</v>
      </c>
      <c r="V4" s="35" t="s">
        <v>150</v>
      </c>
      <c r="W4" s="26" t="s">
        <v>151</v>
      </c>
      <c r="X4" s="26" t="s">
        <v>152</v>
      </c>
      <c r="Y4" s="27" t="s">
        <v>153</v>
      </c>
      <c r="Z4" s="27" t="s">
        <v>154</v>
      </c>
      <c r="AA4" s="27" t="s">
        <v>155</v>
      </c>
      <c r="AB4" s="27" t="s">
        <v>156</v>
      </c>
      <c r="AC4" s="27" t="s">
        <v>157</v>
      </c>
      <c r="AF4" s="35" t="s">
        <v>158</v>
      </c>
      <c r="AG4" s="35" t="s">
        <v>158</v>
      </c>
      <c r="AH4" s="35" t="s">
        <v>159</v>
      </c>
      <c r="AI4" s="35" t="s">
        <v>160</v>
      </c>
      <c r="AJ4" s="35" t="s">
        <v>161</v>
      </c>
      <c r="AK4" s="35" t="s">
        <v>162</v>
      </c>
      <c r="AL4" s="35" t="s">
        <v>163</v>
      </c>
      <c r="AM4" s="35" t="s">
        <v>164</v>
      </c>
      <c r="AN4" s="35" t="s">
        <v>165</v>
      </c>
      <c r="AO4" s="35" t="s">
        <v>166</v>
      </c>
      <c r="AP4" s="35" t="s">
        <v>167</v>
      </c>
      <c r="AQ4" s="35" t="s">
        <v>168</v>
      </c>
      <c r="AR4" s="35" t="s">
        <v>169</v>
      </c>
      <c r="AS4" s="35" t="s">
        <v>170</v>
      </c>
      <c r="AT4" s="35" t="s">
        <v>171</v>
      </c>
      <c r="AU4" s="35" t="s">
        <v>172</v>
      </c>
    </row>
    <row r="5" spans="1:47" s="36" customFormat="1" ht="18" customHeight="1" x14ac:dyDescent="0.3">
      <c r="A5" s="68" t="s">
        <v>173</v>
      </c>
      <c r="B5" s="69" t="s">
        <v>174</v>
      </c>
      <c r="C5" s="24">
        <v>7</v>
      </c>
      <c r="D5" s="24">
        <v>5</v>
      </c>
      <c r="E5" s="24">
        <v>6</v>
      </c>
      <c r="F5" s="24">
        <v>7</v>
      </c>
      <c r="G5" s="24">
        <v>6</v>
      </c>
      <c r="H5" s="24">
        <v>5</v>
      </c>
      <c r="I5" s="24">
        <v>1</v>
      </c>
      <c r="J5" s="24">
        <v>2</v>
      </c>
      <c r="K5" s="24">
        <v>2</v>
      </c>
      <c r="L5" s="24">
        <v>2</v>
      </c>
      <c r="M5" s="24">
        <v>3</v>
      </c>
      <c r="N5" s="24">
        <v>2</v>
      </c>
      <c r="Q5" s="24">
        <v>2</v>
      </c>
      <c r="R5" s="24">
        <v>2</v>
      </c>
      <c r="S5" s="24">
        <v>2</v>
      </c>
      <c r="T5" s="24">
        <v>2</v>
      </c>
      <c r="U5" s="24">
        <v>2</v>
      </c>
      <c r="V5" s="24">
        <v>2</v>
      </c>
      <c r="W5" s="24">
        <v>1</v>
      </c>
      <c r="X5" s="24">
        <v>2</v>
      </c>
      <c r="Y5" s="24">
        <v>2</v>
      </c>
      <c r="Z5" s="24">
        <v>1</v>
      </c>
      <c r="AA5" s="24">
        <v>1</v>
      </c>
      <c r="AB5" s="24">
        <v>1</v>
      </c>
      <c r="AC5" s="24">
        <v>1</v>
      </c>
      <c r="AF5" s="24">
        <v>2</v>
      </c>
      <c r="AG5" s="24">
        <v>2</v>
      </c>
      <c r="AH5" s="24">
        <v>2</v>
      </c>
      <c r="AI5" s="24">
        <v>2</v>
      </c>
      <c r="AJ5" s="24">
        <v>2</v>
      </c>
      <c r="AK5" s="24">
        <v>2</v>
      </c>
      <c r="AL5" s="24">
        <v>1</v>
      </c>
      <c r="AM5" s="22">
        <v>2</v>
      </c>
      <c r="AN5" s="24">
        <v>2</v>
      </c>
      <c r="AO5" s="24">
        <v>2</v>
      </c>
      <c r="AP5" s="24">
        <v>2</v>
      </c>
      <c r="AQ5" s="24">
        <v>2</v>
      </c>
      <c r="AR5" s="24">
        <v>2</v>
      </c>
      <c r="AS5" s="24">
        <v>3</v>
      </c>
      <c r="AT5" s="24">
        <v>4</v>
      </c>
      <c r="AU5" s="24">
        <v>2</v>
      </c>
    </row>
    <row r="6" spans="1:47" s="32" customFormat="1" ht="73.5" x14ac:dyDescent="0.3">
      <c r="A6" s="68"/>
      <c r="B6" s="69"/>
      <c r="C6" s="26" t="s">
        <v>175</v>
      </c>
      <c r="D6" s="26" t="s">
        <v>176</v>
      </c>
      <c r="E6" s="26" t="s">
        <v>177</v>
      </c>
      <c r="F6" s="26" t="s">
        <v>178</v>
      </c>
      <c r="G6" s="26" t="s">
        <v>179</v>
      </c>
      <c r="H6" s="26" t="s">
        <v>180</v>
      </c>
      <c r="I6" s="26" t="s">
        <v>181</v>
      </c>
      <c r="J6" s="26" t="s">
        <v>182</v>
      </c>
      <c r="K6" s="26" t="s">
        <v>183</v>
      </c>
      <c r="L6" s="26" t="s">
        <v>184</v>
      </c>
      <c r="M6" s="26" t="s">
        <v>185</v>
      </c>
      <c r="N6" s="26" t="s">
        <v>186</v>
      </c>
      <c r="O6" s="21"/>
      <c r="P6" s="21"/>
      <c r="Q6" s="26" t="s">
        <v>187</v>
      </c>
      <c r="R6" s="26" t="s">
        <v>187</v>
      </c>
      <c r="S6" s="26" t="s">
        <v>187</v>
      </c>
      <c r="T6" s="26" t="s">
        <v>187</v>
      </c>
      <c r="U6" s="26" t="s">
        <v>187</v>
      </c>
      <c r="V6" s="26" t="s">
        <v>187</v>
      </c>
      <c r="W6" s="26" t="s">
        <v>188</v>
      </c>
      <c r="X6" s="26" t="s">
        <v>187</v>
      </c>
      <c r="Y6" s="26" t="s">
        <v>189</v>
      </c>
      <c r="Z6" s="26" t="s">
        <v>190</v>
      </c>
      <c r="AA6" s="26" t="s">
        <v>191</v>
      </c>
      <c r="AB6" s="26" t="s">
        <v>192</v>
      </c>
      <c r="AC6" s="26" t="s">
        <v>193</v>
      </c>
      <c r="AF6" s="26" t="s">
        <v>194</v>
      </c>
      <c r="AG6" s="26" t="s">
        <v>194</v>
      </c>
      <c r="AH6" s="26" t="s">
        <v>195</v>
      </c>
      <c r="AI6" s="26" t="s">
        <v>195</v>
      </c>
      <c r="AJ6" s="26" t="s">
        <v>196</v>
      </c>
      <c r="AK6" s="26" t="s">
        <v>196</v>
      </c>
      <c r="AL6" s="26" t="s">
        <v>197</v>
      </c>
      <c r="AM6" s="26" t="s">
        <v>198</v>
      </c>
      <c r="AN6" s="26" t="s">
        <v>198</v>
      </c>
      <c r="AO6" s="26" t="s">
        <v>198</v>
      </c>
      <c r="AP6" s="26" t="s">
        <v>198</v>
      </c>
      <c r="AQ6" s="26" t="s">
        <v>199</v>
      </c>
      <c r="AR6" s="26" t="s">
        <v>199</v>
      </c>
      <c r="AS6" s="26" t="s">
        <v>200</v>
      </c>
      <c r="AT6" s="26" t="s">
        <v>201</v>
      </c>
      <c r="AU6" s="26" t="s">
        <v>202</v>
      </c>
    </row>
    <row r="7" spans="1:47" s="36" customFormat="1" ht="17.25" customHeight="1" x14ac:dyDescent="0.3">
      <c r="A7" s="68" t="s">
        <v>203</v>
      </c>
      <c r="B7" s="69" t="s">
        <v>204</v>
      </c>
      <c r="C7" s="24">
        <v>7</v>
      </c>
      <c r="D7" s="24">
        <v>4</v>
      </c>
      <c r="E7" s="24">
        <v>7</v>
      </c>
      <c r="F7" s="24">
        <v>7</v>
      </c>
      <c r="G7" s="24">
        <v>6</v>
      </c>
      <c r="H7" s="24">
        <v>7</v>
      </c>
      <c r="I7" s="24">
        <v>3</v>
      </c>
      <c r="J7" s="24">
        <v>3</v>
      </c>
      <c r="K7" s="24">
        <v>3</v>
      </c>
      <c r="L7" s="24">
        <v>4</v>
      </c>
      <c r="M7" s="24">
        <v>5</v>
      </c>
      <c r="N7" s="24">
        <v>3</v>
      </c>
      <c r="Q7" s="24">
        <v>5</v>
      </c>
      <c r="R7" s="24">
        <v>5</v>
      </c>
      <c r="S7" s="24">
        <v>5</v>
      </c>
      <c r="T7" s="24">
        <v>2</v>
      </c>
      <c r="U7" s="24">
        <v>5</v>
      </c>
      <c r="V7" s="24">
        <v>5</v>
      </c>
      <c r="W7" s="24">
        <v>3</v>
      </c>
      <c r="X7" s="24">
        <v>3</v>
      </c>
      <c r="Y7" s="24">
        <v>4</v>
      </c>
      <c r="Z7" s="24">
        <v>3</v>
      </c>
      <c r="AA7" s="24">
        <v>4</v>
      </c>
      <c r="AB7" s="24">
        <v>3</v>
      </c>
      <c r="AC7" s="24">
        <v>4</v>
      </c>
      <c r="AF7" s="24">
        <v>4</v>
      </c>
      <c r="AG7" s="24">
        <v>4</v>
      </c>
      <c r="AH7" s="24">
        <v>3</v>
      </c>
      <c r="AI7" s="24">
        <v>3</v>
      </c>
      <c r="AJ7" s="24">
        <v>4</v>
      </c>
      <c r="AK7" s="24">
        <v>4</v>
      </c>
      <c r="AL7" s="24">
        <v>4</v>
      </c>
      <c r="AM7" s="24">
        <v>2</v>
      </c>
      <c r="AN7" s="24">
        <v>3</v>
      </c>
      <c r="AO7" s="24">
        <v>3</v>
      </c>
      <c r="AP7" s="24">
        <v>3</v>
      </c>
      <c r="AQ7" s="24">
        <v>7</v>
      </c>
      <c r="AR7" s="24">
        <v>7</v>
      </c>
      <c r="AS7" s="24">
        <v>7</v>
      </c>
      <c r="AT7" s="24">
        <v>5</v>
      </c>
      <c r="AU7" s="24">
        <v>2</v>
      </c>
    </row>
    <row r="8" spans="1:47" s="32" customFormat="1" ht="69" customHeight="1" x14ac:dyDescent="0.3">
      <c r="A8" s="68"/>
      <c r="B8" s="69"/>
      <c r="C8" s="21" t="s">
        <v>205</v>
      </c>
      <c r="D8" s="21" t="s">
        <v>206</v>
      </c>
      <c r="E8" s="21" t="s">
        <v>205</v>
      </c>
      <c r="F8" s="21" t="s">
        <v>207</v>
      </c>
      <c r="G8" s="21" t="s">
        <v>208</v>
      </c>
      <c r="H8" s="21" t="s">
        <v>209</v>
      </c>
      <c r="I8" s="21" t="s">
        <v>210</v>
      </c>
      <c r="J8" s="21" t="s">
        <v>211</v>
      </c>
      <c r="K8" s="21" t="s">
        <v>212</v>
      </c>
      <c r="L8" s="21" t="s">
        <v>213</v>
      </c>
      <c r="M8" s="21" t="s">
        <v>214</v>
      </c>
      <c r="N8" s="21" t="s">
        <v>211</v>
      </c>
      <c r="O8" s="21"/>
      <c r="P8" s="21"/>
      <c r="Q8" s="26" t="s">
        <v>215</v>
      </c>
      <c r="R8" s="26" t="s">
        <v>215</v>
      </c>
      <c r="S8" s="26" t="s">
        <v>216</v>
      </c>
      <c r="T8" s="26" t="s">
        <v>217</v>
      </c>
      <c r="U8" s="26" t="s">
        <v>216</v>
      </c>
      <c r="V8" s="26" t="s">
        <v>215</v>
      </c>
      <c r="W8" s="26" t="s">
        <v>218</v>
      </c>
      <c r="X8" s="26" t="s">
        <v>218</v>
      </c>
      <c r="Y8" s="26" t="s">
        <v>219</v>
      </c>
      <c r="Z8" s="26" t="s">
        <v>220</v>
      </c>
      <c r="AA8" s="26" t="s">
        <v>221</v>
      </c>
      <c r="AB8" s="26" t="s">
        <v>220</v>
      </c>
      <c r="AC8" s="26" t="s">
        <v>222</v>
      </c>
      <c r="AF8" s="26" t="s">
        <v>223</v>
      </c>
      <c r="AG8" s="26" t="s">
        <v>223</v>
      </c>
      <c r="AH8" s="26" t="s">
        <v>224</v>
      </c>
      <c r="AI8" s="26" t="s">
        <v>224</v>
      </c>
      <c r="AJ8" s="26" t="s">
        <v>225</v>
      </c>
      <c r="AK8" s="26" t="s">
        <v>225</v>
      </c>
      <c r="AL8" s="26" t="s">
        <v>225</v>
      </c>
      <c r="AM8" s="26" t="s">
        <v>226</v>
      </c>
      <c r="AN8" s="26" t="s">
        <v>227</v>
      </c>
      <c r="AO8" s="26" t="s">
        <v>228</v>
      </c>
      <c r="AP8" s="26" t="s">
        <v>229</v>
      </c>
      <c r="AQ8" s="26" t="s">
        <v>230</v>
      </c>
      <c r="AR8" s="26" t="s">
        <v>230</v>
      </c>
      <c r="AS8" s="26" t="s">
        <v>230</v>
      </c>
      <c r="AT8" s="26" t="s">
        <v>231</v>
      </c>
      <c r="AU8" s="26" t="s">
        <v>232</v>
      </c>
    </row>
    <row r="9" spans="1:47" s="31" customFormat="1" ht="17.25" customHeight="1" x14ac:dyDescent="0.3">
      <c r="A9" s="68" t="s">
        <v>233</v>
      </c>
      <c r="B9" s="69" t="s">
        <v>234</v>
      </c>
      <c r="C9" s="22">
        <v>7</v>
      </c>
      <c r="D9" s="22">
        <v>5</v>
      </c>
      <c r="E9" s="22">
        <v>7</v>
      </c>
      <c r="F9" s="22">
        <v>7</v>
      </c>
      <c r="G9" s="22">
        <v>6</v>
      </c>
      <c r="H9" s="22">
        <v>7</v>
      </c>
      <c r="I9" s="22">
        <v>1</v>
      </c>
      <c r="J9" s="22">
        <v>2</v>
      </c>
      <c r="K9" s="22">
        <v>4</v>
      </c>
      <c r="L9" s="22">
        <v>5</v>
      </c>
      <c r="M9" s="22">
        <v>5</v>
      </c>
      <c r="N9" s="22">
        <v>1</v>
      </c>
      <c r="O9" s="29"/>
      <c r="P9" s="29"/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4</v>
      </c>
      <c r="Z9" s="22">
        <v>3</v>
      </c>
      <c r="AA9" s="22">
        <v>4</v>
      </c>
      <c r="AB9" s="22">
        <v>2</v>
      </c>
      <c r="AC9" s="22">
        <v>3</v>
      </c>
      <c r="AF9" s="22">
        <v>2</v>
      </c>
      <c r="AG9" s="22">
        <v>2</v>
      </c>
      <c r="AH9" s="22">
        <v>4</v>
      </c>
      <c r="AI9" s="22">
        <v>4</v>
      </c>
      <c r="AJ9" s="22">
        <v>2</v>
      </c>
      <c r="AK9" s="22">
        <v>2</v>
      </c>
      <c r="AL9" s="22">
        <v>3</v>
      </c>
      <c r="AM9" s="22">
        <v>4</v>
      </c>
      <c r="AN9" s="22">
        <v>4</v>
      </c>
      <c r="AO9" s="22">
        <v>4</v>
      </c>
      <c r="AP9" s="22">
        <v>3</v>
      </c>
      <c r="AQ9" s="22">
        <v>4</v>
      </c>
      <c r="AR9" s="22">
        <v>4</v>
      </c>
      <c r="AS9" s="22">
        <v>4</v>
      </c>
      <c r="AT9" s="22">
        <v>3</v>
      </c>
      <c r="AU9" s="22">
        <v>2</v>
      </c>
    </row>
    <row r="10" spans="1:47" s="32" customFormat="1" ht="69" customHeight="1" x14ac:dyDescent="0.3">
      <c r="A10" s="68"/>
      <c r="B10" s="69"/>
      <c r="C10" s="21" t="s">
        <v>235</v>
      </c>
      <c r="D10" s="21" t="s">
        <v>236</v>
      </c>
      <c r="E10" s="21" t="s">
        <v>237</v>
      </c>
      <c r="F10" s="21" t="s">
        <v>238</v>
      </c>
      <c r="G10" s="21" t="s">
        <v>239</v>
      </c>
      <c r="H10" s="21" t="s">
        <v>240</v>
      </c>
      <c r="I10" s="21" t="s">
        <v>241</v>
      </c>
      <c r="J10" s="26" t="s">
        <v>242</v>
      </c>
      <c r="K10" s="26" t="s">
        <v>243</v>
      </c>
      <c r="L10" s="21" t="s">
        <v>244</v>
      </c>
      <c r="M10" s="26" t="s">
        <v>243</v>
      </c>
      <c r="N10" s="26" t="s">
        <v>245</v>
      </c>
      <c r="O10" s="21"/>
      <c r="P10" s="21"/>
      <c r="Q10" s="26" t="s">
        <v>242</v>
      </c>
      <c r="R10" s="26" t="s">
        <v>242</v>
      </c>
      <c r="S10" s="26" t="s">
        <v>242</v>
      </c>
      <c r="T10" s="26" t="s">
        <v>242</v>
      </c>
      <c r="U10" s="26" t="s">
        <v>242</v>
      </c>
      <c r="V10" s="26" t="s">
        <v>242</v>
      </c>
      <c r="W10" s="26" t="s">
        <v>242</v>
      </c>
      <c r="X10" s="26" t="s">
        <v>242</v>
      </c>
      <c r="Y10" s="26" t="s">
        <v>243</v>
      </c>
      <c r="Z10" s="26" t="s">
        <v>246</v>
      </c>
      <c r="AA10" s="26" t="s">
        <v>243</v>
      </c>
      <c r="AB10" s="26" t="s">
        <v>247</v>
      </c>
      <c r="AC10" s="26" t="s">
        <v>246</v>
      </c>
      <c r="AF10" s="26" t="s">
        <v>242</v>
      </c>
      <c r="AG10" s="26" t="s">
        <v>242</v>
      </c>
      <c r="AH10" s="26" t="s">
        <v>243</v>
      </c>
      <c r="AI10" s="26" t="s">
        <v>243</v>
      </c>
      <c r="AJ10" s="26" t="s">
        <v>242</v>
      </c>
      <c r="AK10" s="26" t="s">
        <v>242</v>
      </c>
      <c r="AL10" s="26" t="s">
        <v>248</v>
      </c>
      <c r="AM10" s="26" t="s">
        <v>243</v>
      </c>
      <c r="AN10" s="26" t="s">
        <v>243</v>
      </c>
      <c r="AO10" s="26" t="s">
        <v>243</v>
      </c>
      <c r="AP10" s="26" t="s">
        <v>248</v>
      </c>
      <c r="AQ10" s="26" t="s">
        <v>243</v>
      </c>
      <c r="AR10" s="26" t="s">
        <v>243</v>
      </c>
      <c r="AS10" s="26" t="s">
        <v>243</v>
      </c>
      <c r="AT10" s="26" t="s">
        <v>248</v>
      </c>
      <c r="AU10" s="26" t="s">
        <v>249</v>
      </c>
    </row>
    <row r="11" spans="1:47" s="36" customFormat="1" ht="17.25" customHeight="1" x14ac:dyDescent="0.3">
      <c r="A11" s="68" t="s">
        <v>250</v>
      </c>
      <c r="B11" s="69" t="s">
        <v>251</v>
      </c>
      <c r="C11" s="24">
        <v>7</v>
      </c>
      <c r="D11" s="24">
        <v>4</v>
      </c>
      <c r="E11" s="24">
        <v>7</v>
      </c>
      <c r="F11" s="24">
        <v>7</v>
      </c>
      <c r="G11" s="24">
        <v>7</v>
      </c>
      <c r="H11" s="24">
        <v>7</v>
      </c>
      <c r="I11" s="24">
        <v>2</v>
      </c>
      <c r="J11" s="24">
        <v>4</v>
      </c>
      <c r="K11" s="24">
        <v>4</v>
      </c>
      <c r="L11" s="24">
        <v>6</v>
      </c>
      <c r="M11" s="24">
        <v>6</v>
      </c>
      <c r="N11" s="24">
        <v>4</v>
      </c>
      <c r="Q11" s="24">
        <v>1</v>
      </c>
      <c r="R11" s="24">
        <v>1</v>
      </c>
      <c r="S11" s="24">
        <v>4</v>
      </c>
      <c r="T11" s="24">
        <v>3</v>
      </c>
      <c r="U11" s="24">
        <v>3</v>
      </c>
      <c r="V11" s="24">
        <v>1</v>
      </c>
      <c r="W11" s="24">
        <v>5</v>
      </c>
      <c r="X11" s="24">
        <v>5</v>
      </c>
      <c r="Y11" s="24">
        <v>3</v>
      </c>
      <c r="Z11" s="24">
        <v>1</v>
      </c>
      <c r="AA11" s="24">
        <v>4</v>
      </c>
      <c r="AB11" s="24">
        <v>1</v>
      </c>
      <c r="AC11" s="24">
        <v>4</v>
      </c>
      <c r="AF11" s="24">
        <v>4</v>
      </c>
      <c r="AG11" s="24">
        <v>4</v>
      </c>
      <c r="AH11" s="24">
        <v>4</v>
      </c>
      <c r="AI11" s="24">
        <v>4</v>
      </c>
      <c r="AJ11" s="24">
        <v>4</v>
      </c>
      <c r="AK11" s="24">
        <v>4</v>
      </c>
      <c r="AL11" s="24">
        <v>4</v>
      </c>
      <c r="AM11" s="24">
        <v>4</v>
      </c>
      <c r="AN11" s="24">
        <v>4</v>
      </c>
      <c r="AO11" s="24">
        <v>4</v>
      </c>
      <c r="AP11" s="24">
        <v>4</v>
      </c>
      <c r="AQ11" s="24">
        <v>1</v>
      </c>
      <c r="AR11" s="24">
        <v>4</v>
      </c>
      <c r="AS11" s="24">
        <v>4</v>
      </c>
      <c r="AT11" s="24">
        <v>4</v>
      </c>
      <c r="AU11" s="24">
        <v>1</v>
      </c>
    </row>
    <row r="12" spans="1:47" s="32" customFormat="1" ht="84" x14ac:dyDescent="0.3">
      <c r="A12" s="68"/>
      <c r="B12" s="69"/>
      <c r="C12" s="26" t="s">
        <v>252</v>
      </c>
      <c r="D12" s="26" t="s">
        <v>253</v>
      </c>
      <c r="E12" s="26" t="s">
        <v>254</v>
      </c>
      <c r="F12" s="26" t="s">
        <v>255</v>
      </c>
      <c r="G12" s="26" t="s">
        <v>255</v>
      </c>
      <c r="H12" s="26" t="s">
        <v>255</v>
      </c>
      <c r="I12" s="26" t="s">
        <v>256</v>
      </c>
      <c r="J12" s="26" t="s">
        <v>257</v>
      </c>
      <c r="K12" s="26" t="s">
        <v>258</v>
      </c>
      <c r="L12" s="26" t="s">
        <v>259</v>
      </c>
      <c r="M12" s="26" t="s">
        <v>260</v>
      </c>
      <c r="N12" s="26" t="s">
        <v>261</v>
      </c>
      <c r="O12" s="21"/>
      <c r="P12" s="21"/>
      <c r="Q12" s="26" t="s">
        <v>262</v>
      </c>
      <c r="R12" s="26" t="s">
        <v>262</v>
      </c>
      <c r="S12" s="26" t="s">
        <v>263</v>
      </c>
      <c r="T12" s="26" t="s">
        <v>264</v>
      </c>
      <c r="U12" s="26" t="s">
        <v>265</v>
      </c>
      <c r="V12" s="26" t="s">
        <v>266</v>
      </c>
      <c r="W12" s="26" t="s">
        <v>267</v>
      </c>
      <c r="X12" s="26" t="s">
        <v>267</v>
      </c>
      <c r="Y12" s="26" t="s">
        <v>268</v>
      </c>
      <c r="Z12" s="26" t="s">
        <v>269</v>
      </c>
      <c r="AA12" s="26" t="s">
        <v>270</v>
      </c>
      <c r="AB12" s="26" t="s">
        <v>269</v>
      </c>
      <c r="AC12" s="26" t="s">
        <v>270</v>
      </c>
      <c r="AF12" s="26" t="s">
        <v>271</v>
      </c>
      <c r="AG12" s="26" t="s">
        <v>271</v>
      </c>
      <c r="AH12" s="26" t="s">
        <v>272</v>
      </c>
      <c r="AI12" s="26" t="s">
        <v>272</v>
      </c>
      <c r="AJ12" s="26" t="s">
        <v>272</v>
      </c>
      <c r="AK12" s="26" t="s">
        <v>272</v>
      </c>
      <c r="AL12" s="26" t="s">
        <v>272</v>
      </c>
      <c r="AM12" s="26" t="s">
        <v>273</v>
      </c>
      <c r="AN12" s="26" t="s">
        <v>273</v>
      </c>
      <c r="AO12" s="26" t="s">
        <v>273</v>
      </c>
      <c r="AP12" s="26" t="s">
        <v>273</v>
      </c>
      <c r="AQ12" s="26" t="s">
        <v>274</v>
      </c>
      <c r="AR12" s="26" t="s">
        <v>272</v>
      </c>
      <c r="AS12" s="26" t="s">
        <v>272</v>
      </c>
      <c r="AT12" s="26" t="s">
        <v>275</v>
      </c>
      <c r="AU12" s="26" t="s">
        <v>276</v>
      </c>
    </row>
    <row r="13" spans="1:47" s="36" customFormat="1" ht="17.25" customHeight="1" x14ac:dyDescent="0.3">
      <c r="A13" s="68" t="s">
        <v>277</v>
      </c>
      <c r="B13" s="69" t="s">
        <v>278</v>
      </c>
      <c r="C13" s="24">
        <v>7</v>
      </c>
      <c r="D13" s="24">
        <v>6</v>
      </c>
      <c r="E13" s="24">
        <v>7</v>
      </c>
      <c r="F13" s="24">
        <v>7</v>
      </c>
      <c r="G13" s="24">
        <v>7</v>
      </c>
      <c r="H13" s="24">
        <v>7</v>
      </c>
      <c r="I13" s="24">
        <v>3</v>
      </c>
      <c r="J13" s="24">
        <v>5</v>
      </c>
      <c r="K13" s="24">
        <v>7</v>
      </c>
      <c r="L13" s="24">
        <v>7</v>
      </c>
      <c r="M13" s="24">
        <v>6</v>
      </c>
      <c r="N13" s="24">
        <v>2</v>
      </c>
      <c r="Q13" s="24">
        <v>4</v>
      </c>
      <c r="R13" s="24">
        <v>4</v>
      </c>
      <c r="S13" s="24">
        <v>5</v>
      </c>
      <c r="T13" s="24">
        <v>3</v>
      </c>
      <c r="U13" s="24">
        <v>5</v>
      </c>
      <c r="V13" s="24">
        <v>3</v>
      </c>
      <c r="W13" s="24">
        <v>5</v>
      </c>
      <c r="X13" s="24">
        <v>5</v>
      </c>
      <c r="Y13" s="24">
        <v>4</v>
      </c>
      <c r="Z13" s="24">
        <v>3</v>
      </c>
      <c r="AA13" s="24">
        <v>2</v>
      </c>
      <c r="AB13" s="24">
        <v>2</v>
      </c>
      <c r="AC13" s="24">
        <v>3</v>
      </c>
      <c r="AF13" s="24">
        <v>5</v>
      </c>
      <c r="AG13" s="24">
        <v>6</v>
      </c>
      <c r="AH13" s="24">
        <v>3</v>
      </c>
      <c r="AI13" s="24">
        <v>3</v>
      </c>
      <c r="AJ13" s="24">
        <v>2</v>
      </c>
      <c r="AK13" s="24">
        <v>2</v>
      </c>
      <c r="AL13" s="24">
        <v>2</v>
      </c>
      <c r="AM13" s="24">
        <v>4</v>
      </c>
      <c r="AN13" s="24">
        <v>5</v>
      </c>
      <c r="AO13" s="24">
        <v>3</v>
      </c>
      <c r="AP13" s="24">
        <v>3</v>
      </c>
      <c r="AQ13" s="24">
        <v>3</v>
      </c>
      <c r="AR13" s="24">
        <v>3</v>
      </c>
      <c r="AS13" s="24">
        <v>3</v>
      </c>
      <c r="AT13" s="24">
        <v>4</v>
      </c>
      <c r="AU13" s="24">
        <v>3</v>
      </c>
    </row>
    <row r="14" spans="1:47" s="32" customFormat="1" ht="115.5" x14ac:dyDescent="0.3">
      <c r="A14" s="68"/>
      <c r="B14" s="69"/>
      <c r="C14" s="26" t="s">
        <v>279</v>
      </c>
      <c r="D14" s="26" t="s">
        <v>280</v>
      </c>
      <c r="E14" s="26" t="s">
        <v>281</v>
      </c>
      <c r="F14" s="26" t="s">
        <v>282</v>
      </c>
      <c r="G14" s="26" t="s">
        <v>283</v>
      </c>
      <c r="H14" s="26" t="s">
        <v>284</v>
      </c>
      <c r="I14" s="26" t="s">
        <v>285</v>
      </c>
      <c r="J14" s="26" t="s">
        <v>286</v>
      </c>
      <c r="K14" s="26" t="s">
        <v>287</v>
      </c>
      <c r="L14" s="26" t="s">
        <v>288</v>
      </c>
      <c r="M14" s="26" t="s">
        <v>289</v>
      </c>
      <c r="N14" s="26" t="s">
        <v>290</v>
      </c>
      <c r="O14" s="21"/>
      <c r="P14" s="21"/>
      <c r="Q14" s="26" t="s">
        <v>291</v>
      </c>
      <c r="R14" s="26" t="s">
        <v>292</v>
      </c>
      <c r="S14" s="26" t="s">
        <v>293</v>
      </c>
      <c r="T14" s="26" t="s">
        <v>294</v>
      </c>
      <c r="U14" s="26" t="s">
        <v>295</v>
      </c>
      <c r="V14" s="26" t="s">
        <v>296</v>
      </c>
      <c r="W14" s="26" t="s">
        <v>297</v>
      </c>
      <c r="X14" s="26" t="s">
        <v>297</v>
      </c>
      <c r="Y14" s="26" t="s">
        <v>298</v>
      </c>
      <c r="Z14" s="26" t="s">
        <v>299</v>
      </c>
      <c r="AA14" s="26" t="s">
        <v>300</v>
      </c>
      <c r="AB14" s="26" t="s">
        <v>301</v>
      </c>
      <c r="AC14" s="26" t="s">
        <v>302</v>
      </c>
      <c r="AF14" s="26" t="s">
        <v>303</v>
      </c>
      <c r="AG14" s="26" t="s">
        <v>304</v>
      </c>
      <c r="AH14" s="26" t="s">
        <v>305</v>
      </c>
      <c r="AI14" s="26" t="s">
        <v>306</v>
      </c>
      <c r="AJ14" s="26" t="s">
        <v>307</v>
      </c>
      <c r="AK14" s="26" t="s">
        <v>307</v>
      </c>
      <c r="AL14" s="26" t="s">
        <v>307</v>
      </c>
      <c r="AM14" s="26" t="s">
        <v>308</v>
      </c>
      <c r="AN14" s="26" t="s">
        <v>309</v>
      </c>
      <c r="AO14" s="26" t="s">
        <v>310</v>
      </c>
      <c r="AP14" s="26" t="s">
        <v>311</v>
      </c>
      <c r="AQ14" s="26" t="s">
        <v>312</v>
      </c>
      <c r="AR14" s="26" t="s">
        <v>313</v>
      </c>
      <c r="AS14" s="26" t="s">
        <v>314</v>
      </c>
      <c r="AT14" s="26" t="s">
        <v>315</v>
      </c>
      <c r="AU14" s="26" t="s">
        <v>316</v>
      </c>
    </row>
    <row r="15" spans="1:47" s="31" customFormat="1" ht="17.25" customHeight="1" x14ac:dyDescent="0.3">
      <c r="A15" s="68" t="s">
        <v>317</v>
      </c>
      <c r="B15" s="69"/>
      <c r="C15" s="22" t="s">
        <v>68</v>
      </c>
      <c r="D15" s="22" t="s">
        <v>68</v>
      </c>
      <c r="E15" s="22" t="s">
        <v>68</v>
      </c>
      <c r="F15" s="22" t="s">
        <v>68</v>
      </c>
      <c r="G15" s="22" t="s">
        <v>68</v>
      </c>
      <c r="H15" s="22" t="s">
        <v>68</v>
      </c>
      <c r="I15" s="22" t="s">
        <v>68</v>
      </c>
      <c r="J15" s="22" t="s">
        <v>68</v>
      </c>
      <c r="K15" s="22" t="s">
        <v>68</v>
      </c>
      <c r="L15" s="22" t="s">
        <v>68</v>
      </c>
      <c r="M15" s="22" t="s">
        <v>68</v>
      </c>
      <c r="N15" s="22" t="s">
        <v>68</v>
      </c>
      <c r="O15" s="29"/>
      <c r="P15" s="29"/>
      <c r="Q15" s="22" t="s">
        <v>68</v>
      </c>
      <c r="R15" s="22" t="s">
        <v>68</v>
      </c>
      <c r="S15" s="22" t="s">
        <v>68</v>
      </c>
      <c r="T15" s="22" t="s">
        <v>68</v>
      </c>
      <c r="U15" s="22" t="s">
        <v>68</v>
      </c>
      <c r="V15" s="22" t="s">
        <v>68</v>
      </c>
      <c r="W15" s="22" t="s">
        <v>68</v>
      </c>
      <c r="X15" s="22" t="s">
        <v>68</v>
      </c>
      <c r="Y15" s="22" t="s">
        <v>68</v>
      </c>
      <c r="Z15" s="22" t="s">
        <v>68</v>
      </c>
      <c r="AA15" s="22" t="s">
        <v>68</v>
      </c>
      <c r="AB15" s="22" t="s">
        <v>68</v>
      </c>
      <c r="AC15" s="22" t="s">
        <v>68</v>
      </c>
      <c r="AF15" s="22" t="s">
        <v>68</v>
      </c>
      <c r="AG15" s="22" t="s">
        <v>68</v>
      </c>
      <c r="AH15" s="22" t="s">
        <v>68</v>
      </c>
      <c r="AI15" s="22" t="s">
        <v>68</v>
      </c>
      <c r="AJ15" s="22" t="s">
        <v>68</v>
      </c>
      <c r="AK15" s="22" t="s">
        <v>68</v>
      </c>
      <c r="AL15" s="22" t="s">
        <v>68</v>
      </c>
      <c r="AM15" s="22" t="s">
        <v>68</v>
      </c>
      <c r="AN15" s="22" t="s">
        <v>68</v>
      </c>
      <c r="AO15" s="22" t="s">
        <v>68</v>
      </c>
      <c r="AP15" s="22" t="s">
        <v>68</v>
      </c>
      <c r="AQ15" s="22" t="s">
        <v>68</v>
      </c>
      <c r="AR15" s="22" t="s">
        <v>68</v>
      </c>
      <c r="AS15" s="22" t="s">
        <v>68</v>
      </c>
      <c r="AT15" s="22" t="s">
        <v>68</v>
      </c>
      <c r="AU15" s="22" t="s">
        <v>68</v>
      </c>
    </row>
    <row r="16" spans="1:47" s="32" customFormat="1" ht="69" customHeight="1" x14ac:dyDescent="0.3">
      <c r="A16" s="68"/>
      <c r="B16" s="6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</row>
    <row r="17" spans="1:47" x14ac:dyDescent="0.3">
      <c r="A17" s="4"/>
      <c r="B17" s="4"/>
      <c r="C17" s="33"/>
      <c r="D17" s="33"/>
    </row>
    <row r="18" spans="1:47" x14ac:dyDescent="0.3">
      <c r="A18" s="4"/>
      <c r="B18" s="4"/>
      <c r="C18" s="34">
        <f>AVERAGE(C3:C16)</f>
        <v>7</v>
      </c>
      <c r="D18" s="34">
        <f t="shared" ref="D18:N18" si="0">AVERAGE(D3:D16)</f>
        <v>5</v>
      </c>
      <c r="E18" s="34">
        <f t="shared" si="0"/>
        <v>6.833333333333333</v>
      </c>
      <c r="F18" s="34">
        <f t="shared" si="0"/>
        <v>7</v>
      </c>
      <c r="G18" s="34">
        <f t="shared" si="0"/>
        <v>6.166666666666667</v>
      </c>
      <c r="H18" s="34">
        <f t="shared" si="0"/>
        <v>6.666666666666667</v>
      </c>
      <c r="I18" s="34">
        <f t="shared" si="0"/>
        <v>2</v>
      </c>
      <c r="J18" s="34">
        <f t="shared" si="0"/>
        <v>3.1666666666666665</v>
      </c>
      <c r="K18" s="34">
        <f t="shared" si="0"/>
        <v>3.8333333333333335</v>
      </c>
      <c r="L18" s="34">
        <f t="shared" si="0"/>
        <v>5</v>
      </c>
      <c r="M18" s="34">
        <f t="shared" si="0"/>
        <v>5</v>
      </c>
      <c r="N18" s="34">
        <f t="shared" si="0"/>
        <v>2.3333333333333335</v>
      </c>
    </row>
    <row r="19" spans="1:47" x14ac:dyDescent="0.3">
      <c r="A19" s="4"/>
      <c r="B19" s="4"/>
      <c r="C19" s="33"/>
      <c r="D19" s="33"/>
    </row>
    <row r="20" spans="1:47" x14ac:dyDescent="0.3">
      <c r="A20" s="4"/>
      <c r="B20" s="4"/>
      <c r="C20" s="33"/>
      <c r="D20" s="33"/>
    </row>
    <row r="21" spans="1:47" x14ac:dyDescent="0.3">
      <c r="A21" s="4"/>
      <c r="B21" s="4"/>
      <c r="C21" s="33"/>
      <c r="D21" s="33"/>
    </row>
    <row r="22" spans="1:47" x14ac:dyDescent="0.3">
      <c r="A22" s="4"/>
      <c r="B22" s="4"/>
      <c r="C22" s="33"/>
      <c r="D22" s="33"/>
    </row>
    <row r="23" spans="1:47" x14ac:dyDescent="0.3">
      <c r="A23" s="4"/>
      <c r="B23" s="4"/>
      <c r="C23" s="33"/>
      <c r="D23" s="33"/>
    </row>
    <row r="24" spans="1:47" x14ac:dyDescent="0.3">
      <c r="A24" s="4"/>
      <c r="B24" s="4"/>
    </row>
    <row r="25" spans="1:47" ht="31.5" customHeight="1" x14ac:dyDescent="0.3">
      <c r="A25" s="1"/>
      <c r="B25" s="6"/>
      <c r="C25" s="66" t="str">
        <f>C1</f>
        <v>Light Rail Corridors</v>
      </c>
      <c r="D25" s="66"/>
      <c r="E25" s="66"/>
      <c r="F25" s="66" t="str">
        <f t="shared" ref="F25:J25" si="1">F1</f>
        <v>Existing RTN</v>
      </c>
      <c r="G25" s="66"/>
      <c r="H25" s="66"/>
      <c r="I25" s="66"/>
      <c r="J25" s="66" t="str">
        <f t="shared" si="1"/>
        <v>Other ATAP</v>
      </c>
      <c r="K25" s="66"/>
      <c r="L25" s="66"/>
      <c r="M25" s="66"/>
      <c r="N25" s="66"/>
      <c r="AE25" s="1"/>
      <c r="AF25" s="66" t="str">
        <f>AF1</f>
        <v xml:space="preserve">New Northern </v>
      </c>
      <c r="AG25" s="66"/>
      <c r="AH25" s="66" t="s">
        <v>102</v>
      </c>
      <c r="AI25" s="66"/>
      <c r="AJ25" s="66" t="s">
        <v>103</v>
      </c>
      <c r="AK25" s="66"/>
      <c r="AL25" s="66"/>
      <c r="AM25" s="66" t="str">
        <f>AM1</f>
        <v>Crosstown Route Extensions/ Alignments</v>
      </c>
      <c r="AN25" s="66"/>
      <c r="AO25" s="66"/>
      <c r="AP25" s="66"/>
      <c r="AQ25" s="66" t="str">
        <f>AQ1</f>
        <v>Northwest Extensions/ Alignments</v>
      </c>
      <c r="AR25" s="66"/>
      <c r="AS25" s="66"/>
      <c r="AT25" s="70" t="s">
        <v>109</v>
      </c>
      <c r="AU25" s="71"/>
    </row>
    <row r="26" spans="1:47" ht="39" x14ac:dyDescent="0.3">
      <c r="A26" s="1"/>
      <c r="B26" s="6"/>
      <c r="C26" s="28" t="str">
        <f>C2</f>
        <v>North Shore</v>
      </c>
      <c r="D26" s="28" t="str">
        <f t="shared" ref="D26:N26" si="2">D2</f>
        <v>Isthmus</v>
      </c>
      <c r="E26" s="28" t="str">
        <f t="shared" si="2"/>
        <v>Northwest</v>
      </c>
      <c r="F26" s="28" t="str">
        <f t="shared" si="2"/>
        <v>Southern Line</v>
      </c>
      <c r="G26" s="28" t="str">
        <f t="shared" si="2"/>
        <v>Eastern Line</v>
      </c>
      <c r="H26" s="28" t="str">
        <f t="shared" si="2"/>
        <v>Western Line</v>
      </c>
      <c r="I26" s="28" t="str">
        <f t="shared" si="2"/>
        <v>Onehunga Spur</v>
      </c>
      <c r="J26" s="28" t="str">
        <f t="shared" si="2"/>
        <v>Crosstown</v>
      </c>
      <c r="K26" s="28" t="str">
        <f>K2</f>
        <v>Upper Harbour (Henderson to Constellation)</v>
      </c>
      <c r="L26" s="28" t="str">
        <f t="shared" si="2"/>
        <v>A2B</v>
      </c>
      <c r="M26" s="28" t="str">
        <f t="shared" si="2"/>
        <v>AMETI</v>
      </c>
      <c r="N26" s="28" t="str">
        <f t="shared" si="2"/>
        <v>Ellerslie to Panmure</v>
      </c>
      <c r="O26" s="30"/>
      <c r="P26" s="30"/>
      <c r="Q26" s="28" t="str">
        <f t="shared" ref="Q26:Z26" si="3">Q2</f>
        <v>Sandringham</v>
      </c>
      <c r="R26" s="28" t="str">
        <f t="shared" si="3"/>
        <v>Mt Eden</v>
      </c>
      <c r="S26" s="28" t="str">
        <f t="shared" si="3"/>
        <v>Manukau</v>
      </c>
      <c r="T26" s="28" t="str">
        <f t="shared" si="3"/>
        <v>Tamaki</v>
      </c>
      <c r="U26" s="28" t="str">
        <f t="shared" si="3"/>
        <v>Remuera</v>
      </c>
      <c r="V26" s="28" t="str">
        <f t="shared" si="3"/>
        <v>Great South</v>
      </c>
      <c r="W26" s="28" t="str">
        <f t="shared" si="3"/>
        <v>Onewa: Glenfield</v>
      </c>
      <c r="X26" s="28" t="str">
        <f t="shared" si="3"/>
        <v>Onewa: Beachhaven</v>
      </c>
      <c r="Y26" s="28" t="str">
        <f t="shared" si="3"/>
        <v>SH1</v>
      </c>
      <c r="Z26" s="28" t="str">
        <f t="shared" si="3"/>
        <v>Mill Road</v>
      </c>
      <c r="AA26" s="28" t="str">
        <f t="shared" ref="AA26:AC26" si="4">AA2</f>
        <v>Māngere to Ōtara</v>
      </c>
      <c r="AB26" s="28" t="str">
        <f>AB2</f>
        <v>Flat Bush</v>
      </c>
      <c r="AC26" s="28" t="str">
        <f t="shared" si="4"/>
        <v>Roscommon + Mahia</v>
      </c>
      <c r="AE26" s="1"/>
      <c r="AF26" s="28" t="str">
        <f>AF2</f>
        <v>East</v>
      </c>
      <c r="AG26" s="28" t="str">
        <f t="shared" ref="AG26:AI26" si="5">AG2</f>
        <v>West</v>
      </c>
      <c r="AH26" s="28" t="str">
        <f t="shared" si="5"/>
        <v>AMETI Spur</v>
      </c>
      <c r="AI26" s="28" t="str">
        <f t="shared" si="5"/>
        <v>A2B Extension</v>
      </c>
      <c r="AJ26" s="28" t="str">
        <f t="shared" ref="AJ26:AL27" si="6">AJ2</f>
        <v>Lynfield</v>
      </c>
      <c r="AK26" s="28" t="str">
        <f t="shared" si="6"/>
        <v>Blockhouse Bay</v>
      </c>
      <c r="AL26" s="28" t="str">
        <f t="shared" si="6"/>
        <v>Green Bay</v>
      </c>
      <c r="AM26" s="28" t="str">
        <f>AM2</f>
        <v>To Airport</v>
      </c>
      <c r="AN26" s="28" t="str">
        <f>AN2</f>
        <v>To Sylvia Park</v>
      </c>
      <c r="AO26" s="28" t="str">
        <f>AO2</f>
        <v>To Ellerslie</v>
      </c>
      <c r="AP26" s="28" t="str">
        <f>AP2</f>
        <v>To Panmure</v>
      </c>
      <c r="AQ26" s="28" t="str">
        <f t="shared" ref="AQ26:AS26" si="7">AQ2</f>
        <v>Hobsonville</v>
      </c>
      <c r="AR26" s="28" t="str">
        <f t="shared" si="7"/>
        <v>Whenuapai</v>
      </c>
      <c r="AS26" s="28" t="str">
        <f t="shared" si="7"/>
        <v>Kumeu/ Tuapaki/ Riverhead</v>
      </c>
      <c r="AT26" s="28" t="str">
        <f>AT2</f>
        <v>Western Line Spur</v>
      </c>
      <c r="AU26" s="28" t="str">
        <f>AU2</f>
        <v>Western Line (Swanson to Kumeu)</v>
      </c>
    </row>
    <row r="27" spans="1:47" ht="41.25" customHeight="1" x14ac:dyDescent="0.3">
      <c r="A27" s="63" t="s">
        <v>318</v>
      </c>
      <c r="B27" s="63" t="s">
        <v>318</v>
      </c>
      <c r="C27" s="22">
        <f>C3</f>
        <v>7</v>
      </c>
      <c r="D27" s="22">
        <f t="shared" ref="D27:N27" si="8">D3</f>
        <v>6</v>
      </c>
      <c r="E27" s="22">
        <f t="shared" si="8"/>
        <v>7</v>
      </c>
      <c r="F27" s="22">
        <f t="shared" si="8"/>
        <v>7</v>
      </c>
      <c r="G27" s="22">
        <f t="shared" si="8"/>
        <v>5</v>
      </c>
      <c r="H27" s="22">
        <f t="shared" si="8"/>
        <v>7</v>
      </c>
      <c r="I27" s="22">
        <f t="shared" si="8"/>
        <v>2</v>
      </c>
      <c r="J27" s="22">
        <f t="shared" si="8"/>
        <v>3</v>
      </c>
      <c r="K27" s="22">
        <f t="shared" si="8"/>
        <v>3</v>
      </c>
      <c r="L27" s="22">
        <f t="shared" si="8"/>
        <v>6</v>
      </c>
      <c r="M27" s="22">
        <f t="shared" si="8"/>
        <v>5</v>
      </c>
      <c r="N27" s="22">
        <f t="shared" si="8"/>
        <v>2</v>
      </c>
      <c r="O27" s="64"/>
      <c r="P27" s="63" t="s">
        <v>318</v>
      </c>
      <c r="Q27" s="22">
        <f t="shared" ref="Q27:Z27" si="9">Q3</f>
        <v>1</v>
      </c>
      <c r="R27" s="22">
        <f t="shared" si="9"/>
        <v>1</v>
      </c>
      <c r="S27" s="22">
        <f t="shared" si="9"/>
        <v>5</v>
      </c>
      <c r="T27" s="22">
        <f t="shared" si="9"/>
        <v>1</v>
      </c>
      <c r="U27" s="22">
        <f t="shared" si="9"/>
        <v>2</v>
      </c>
      <c r="V27" s="22">
        <f t="shared" si="9"/>
        <v>1</v>
      </c>
      <c r="W27" s="22">
        <f t="shared" si="9"/>
        <v>5</v>
      </c>
      <c r="X27" s="22">
        <f t="shared" si="9"/>
        <v>4</v>
      </c>
      <c r="Y27" s="22">
        <f t="shared" si="9"/>
        <v>3</v>
      </c>
      <c r="Z27" s="22">
        <f t="shared" si="9"/>
        <v>2</v>
      </c>
      <c r="AA27" s="22">
        <f t="shared" ref="AA27:AC27" si="10">AA3</f>
        <v>3</v>
      </c>
      <c r="AB27" s="22">
        <f>AB3</f>
        <v>1</v>
      </c>
      <c r="AC27" s="22">
        <f t="shared" si="10"/>
        <v>3</v>
      </c>
      <c r="AE27" s="63" t="s">
        <v>318</v>
      </c>
      <c r="AF27" s="22">
        <f>AF3</f>
        <v>3</v>
      </c>
      <c r="AG27" s="22">
        <f t="shared" ref="AG27:AP27" si="11">AG3</f>
        <v>3</v>
      </c>
      <c r="AH27" s="22">
        <f t="shared" si="11"/>
        <v>3</v>
      </c>
      <c r="AI27" s="22">
        <f t="shared" si="11"/>
        <v>4</v>
      </c>
      <c r="AJ27" s="22">
        <f t="shared" si="6"/>
        <v>3</v>
      </c>
      <c r="AK27" s="22">
        <f t="shared" si="6"/>
        <v>3</v>
      </c>
      <c r="AL27" s="22">
        <f t="shared" si="6"/>
        <v>2</v>
      </c>
      <c r="AM27" s="22">
        <f t="shared" si="11"/>
        <v>4</v>
      </c>
      <c r="AN27" s="22">
        <f t="shared" si="11"/>
        <v>3</v>
      </c>
      <c r="AO27" s="22">
        <f t="shared" si="11"/>
        <v>2</v>
      </c>
      <c r="AP27" s="22">
        <f t="shared" si="11"/>
        <v>3</v>
      </c>
      <c r="AQ27" s="22">
        <f t="shared" ref="AQ27:AS27" si="12">AQ3</f>
        <v>3</v>
      </c>
      <c r="AR27" s="22">
        <f t="shared" si="12"/>
        <v>3</v>
      </c>
      <c r="AS27" s="22">
        <f t="shared" si="12"/>
        <v>3</v>
      </c>
      <c r="AT27" s="22">
        <f t="shared" ref="AT27:AU27" si="13">AT3</f>
        <v>3</v>
      </c>
      <c r="AU27" s="22">
        <f t="shared" si="13"/>
        <v>1</v>
      </c>
    </row>
    <row r="28" spans="1:47" ht="41.25" customHeight="1" x14ac:dyDescent="0.3">
      <c r="A28" s="63" t="s">
        <v>319</v>
      </c>
      <c r="B28" s="63" t="s">
        <v>319</v>
      </c>
      <c r="C28" s="22">
        <f t="shared" ref="C28:N28" si="14">C5</f>
        <v>7</v>
      </c>
      <c r="D28" s="22">
        <f t="shared" si="14"/>
        <v>5</v>
      </c>
      <c r="E28" s="22">
        <f t="shared" si="14"/>
        <v>6</v>
      </c>
      <c r="F28" s="22">
        <f t="shared" si="14"/>
        <v>7</v>
      </c>
      <c r="G28" s="22">
        <f t="shared" si="14"/>
        <v>6</v>
      </c>
      <c r="H28" s="22">
        <f t="shared" si="14"/>
        <v>5</v>
      </c>
      <c r="I28" s="22">
        <f t="shared" si="14"/>
        <v>1</v>
      </c>
      <c r="J28" s="22">
        <f t="shared" si="14"/>
        <v>2</v>
      </c>
      <c r="K28" s="22">
        <f t="shared" si="14"/>
        <v>2</v>
      </c>
      <c r="L28" s="22">
        <f t="shared" si="14"/>
        <v>2</v>
      </c>
      <c r="M28" s="22">
        <f t="shared" si="14"/>
        <v>3</v>
      </c>
      <c r="N28" s="22">
        <f t="shared" si="14"/>
        <v>2</v>
      </c>
      <c r="O28" s="64"/>
      <c r="P28" s="63" t="s">
        <v>319</v>
      </c>
      <c r="Q28" s="22">
        <f t="shared" ref="Q28:Z28" si="15">Q5</f>
        <v>2</v>
      </c>
      <c r="R28" s="22">
        <f t="shared" si="15"/>
        <v>2</v>
      </c>
      <c r="S28" s="22">
        <f t="shared" si="15"/>
        <v>2</v>
      </c>
      <c r="T28" s="22">
        <f t="shared" si="15"/>
        <v>2</v>
      </c>
      <c r="U28" s="22">
        <f t="shared" si="15"/>
        <v>2</v>
      </c>
      <c r="V28" s="22">
        <f t="shared" si="15"/>
        <v>2</v>
      </c>
      <c r="W28" s="22">
        <f t="shared" si="15"/>
        <v>1</v>
      </c>
      <c r="X28" s="22">
        <f t="shared" si="15"/>
        <v>2</v>
      </c>
      <c r="Y28" s="22">
        <f t="shared" si="15"/>
        <v>2</v>
      </c>
      <c r="Z28" s="22">
        <f t="shared" si="15"/>
        <v>1</v>
      </c>
      <c r="AA28" s="22">
        <f t="shared" ref="AA28:AC28" si="16">AA5</f>
        <v>1</v>
      </c>
      <c r="AB28" s="22">
        <f>AB5</f>
        <v>1</v>
      </c>
      <c r="AC28" s="22">
        <f t="shared" si="16"/>
        <v>1</v>
      </c>
      <c r="AE28" s="63" t="s">
        <v>319</v>
      </c>
      <c r="AF28" s="22">
        <f t="shared" ref="AF28:AP28" si="17">AF5</f>
        <v>2</v>
      </c>
      <c r="AG28" s="22">
        <f t="shared" si="17"/>
        <v>2</v>
      </c>
      <c r="AH28" s="22">
        <f t="shared" si="17"/>
        <v>2</v>
      </c>
      <c r="AI28" s="22">
        <f t="shared" si="17"/>
        <v>2</v>
      </c>
      <c r="AJ28" s="22">
        <f>AJ5</f>
        <v>2</v>
      </c>
      <c r="AK28" s="22">
        <f>AK5</f>
        <v>2</v>
      </c>
      <c r="AL28" s="22">
        <f>AL5</f>
        <v>1</v>
      </c>
      <c r="AM28" s="22">
        <f t="shared" si="17"/>
        <v>2</v>
      </c>
      <c r="AN28" s="22">
        <f t="shared" si="17"/>
        <v>2</v>
      </c>
      <c r="AO28" s="22">
        <f t="shared" si="17"/>
        <v>2</v>
      </c>
      <c r="AP28" s="22">
        <f t="shared" si="17"/>
        <v>2</v>
      </c>
      <c r="AQ28" s="22">
        <f t="shared" ref="AQ28:AS28" si="18">AQ5</f>
        <v>2</v>
      </c>
      <c r="AR28" s="22">
        <f t="shared" si="18"/>
        <v>2</v>
      </c>
      <c r="AS28" s="22">
        <f t="shared" si="18"/>
        <v>3</v>
      </c>
      <c r="AT28" s="22">
        <f t="shared" ref="AT28:AU28" si="19">AT5</f>
        <v>4</v>
      </c>
      <c r="AU28" s="22">
        <f t="shared" si="19"/>
        <v>2</v>
      </c>
    </row>
    <row r="29" spans="1:47" ht="41.25" customHeight="1" x14ac:dyDescent="0.3">
      <c r="A29" s="63" t="s">
        <v>320</v>
      </c>
      <c r="B29" s="63" t="s">
        <v>320</v>
      </c>
      <c r="C29" s="22">
        <f t="shared" ref="C29:N29" si="20">C7</f>
        <v>7</v>
      </c>
      <c r="D29" s="22">
        <f t="shared" si="20"/>
        <v>4</v>
      </c>
      <c r="E29" s="22">
        <f t="shared" si="20"/>
        <v>7</v>
      </c>
      <c r="F29" s="22">
        <f t="shared" si="20"/>
        <v>7</v>
      </c>
      <c r="G29" s="22">
        <f t="shared" si="20"/>
        <v>6</v>
      </c>
      <c r="H29" s="22">
        <f t="shared" si="20"/>
        <v>7</v>
      </c>
      <c r="I29" s="22">
        <f t="shared" si="20"/>
        <v>3</v>
      </c>
      <c r="J29" s="22">
        <f t="shared" si="20"/>
        <v>3</v>
      </c>
      <c r="K29" s="22">
        <f t="shared" si="20"/>
        <v>3</v>
      </c>
      <c r="L29" s="22">
        <f t="shared" si="20"/>
        <v>4</v>
      </c>
      <c r="M29" s="22">
        <f t="shared" si="20"/>
        <v>5</v>
      </c>
      <c r="N29" s="22">
        <f t="shared" si="20"/>
        <v>3</v>
      </c>
      <c r="O29" s="64"/>
      <c r="P29" s="63" t="s">
        <v>320</v>
      </c>
      <c r="Q29" s="22">
        <f t="shared" ref="Q29:Z29" si="21">Q7</f>
        <v>5</v>
      </c>
      <c r="R29" s="22">
        <f t="shared" si="21"/>
        <v>5</v>
      </c>
      <c r="S29" s="22">
        <f t="shared" si="21"/>
        <v>5</v>
      </c>
      <c r="T29" s="22">
        <f t="shared" si="21"/>
        <v>2</v>
      </c>
      <c r="U29" s="22">
        <f t="shared" si="21"/>
        <v>5</v>
      </c>
      <c r="V29" s="22">
        <f t="shared" si="21"/>
        <v>5</v>
      </c>
      <c r="W29" s="22">
        <f t="shared" si="21"/>
        <v>3</v>
      </c>
      <c r="X29" s="22">
        <f t="shared" si="21"/>
        <v>3</v>
      </c>
      <c r="Y29" s="22">
        <f t="shared" si="21"/>
        <v>4</v>
      </c>
      <c r="Z29" s="22">
        <f t="shared" si="21"/>
        <v>3</v>
      </c>
      <c r="AA29" s="22">
        <f t="shared" ref="AA29:AC29" si="22">AA7</f>
        <v>4</v>
      </c>
      <c r="AB29" s="22">
        <f>AB7</f>
        <v>3</v>
      </c>
      <c r="AC29" s="22">
        <f t="shared" si="22"/>
        <v>4</v>
      </c>
      <c r="AE29" s="63" t="s">
        <v>320</v>
      </c>
      <c r="AF29" s="22">
        <f t="shared" ref="AF29:AP29" si="23">AF7</f>
        <v>4</v>
      </c>
      <c r="AG29" s="22">
        <f t="shared" si="23"/>
        <v>4</v>
      </c>
      <c r="AH29" s="22">
        <f t="shared" si="23"/>
        <v>3</v>
      </c>
      <c r="AI29" s="22">
        <f t="shared" si="23"/>
        <v>3</v>
      </c>
      <c r="AJ29" s="22">
        <f>AJ7</f>
        <v>4</v>
      </c>
      <c r="AK29" s="22">
        <f>AK7</f>
        <v>4</v>
      </c>
      <c r="AL29" s="22">
        <f>AL7</f>
        <v>4</v>
      </c>
      <c r="AM29" s="22">
        <f t="shared" si="23"/>
        <v>2</v>
      </c>
      <c r="AN29" s="22">
        <f t="shared" si="23"/>
        <v>3</v>
      </c>
      <c r="AO29" s="22">
        <f t="shared" si="23"/>
        <v>3</v>
      </c>
      <c r="AP29" s="22">
        <f t="shared" si="23"/>
        <v>3</v>
      </c>
      <c r="AQ29" s="22">
        <f t="shared" ref="AQ29:AS29" si="24">AQ7</f>
        <v>7</v>
      </c>
      <c r="AR29" s="22">
        <f t="shared" si="24"/>
        <v>7</v>
      </c>
      <c r="AS29" s="22">
        <f t="shared" si="24"/>
        <v>7</v>
      </c>
      <c r="AT29" s="22">
        <f>AT7</f>
        <v>5</v>
      </c>
      <c r="AU29" s="22">
        <f t="shared" ref="AU29" si="25">AU7</f>
        <v>2</v>
      </c>
    </row>
    <row r="30" spans="1:47" ht="41.25" customHeight="1" x14ac:dyDescent="0.3">
      <c r="A30" s="63" t="s">
        <v>321</v>
      </c>
      <c r="B30" s="63" t="s">
        <v>321</v>
      </c>
      <c r="C30" s="22">
        <f t="shared" ref="C30:N30" si="26">C9</f>
        <v>7</v>
      </c>
      <c r="D30" s="22">
        <f t="shared" si="26"/>
        <v>5</v>
      </c>
      <c r="E30" s="22">
        <f t="shared" si="26"/>
        <v>7</v>
      </c>
      <c r="F30" s="22">
        <f t="shared" si="26"/>
        <v>7</v>
      </c>
      <c r="G30" s="22">
        <f t="shared" si="26"/>
        <v>6</v>
      </c>
      <c r="H30" s="22">
        <f t="shared" si="26"/>
        <v>7</v>
      </c>
      <c r="I30" s="22">
        <f t="shared" si="26"/>
        <v>1</v>
      </c>
      <c r="J30" s="22">
        <f t="shared" si="26"/>
        <v>2</v>
      </c>
      <c r="K30" s="22">
        <f t="shared" si="26"/>
        <v>4</v>
      </c>
      <c r="L30" s="22">
        <f t="shared" si="26"/>
        <v>5</v>
      </c>
      <c r="M30" s="22">
        <f t="shared" si="26"/>
        <v>5</v>
      </c>
      <c r="N30" s="22">
        <f t="shared" si="26"/>
        <v>1</v>
      </c>
      <c r="O30" s="64"/>
      <c r="P30" s="63" t="s">
        <v>321</v>
      </c>
      <c r="Q30" s="22">
        <f t="shared" ref="Q30:Z30" si="27">Q9</f>
        <v>2</v>
      </c>
      <c r="R30" s="22">
        <f t="shared" si="27"/>
        <v>2</v>
      </c>
      <c r="S30" s="22">
        <f t="shared" si="27"/>
        <v>2</v>
      </c>
      <c r="T30" s="22">
        <f t="shared" si="27"/>
        <v>2</v>
      </c>
      <c r="U30" s="22">
        <f t="shared" si="27"/>
        <v>2</v>
      </c>
      <c r="V30" s="22">
        <f t="shared" si="27"/>
        <v>2</v>
      </c>
      <c r="W30" s="22">
        <f t="shared" si="27"/>
        <v>2</v>
      </c>
      <c r="X30" s="22">
        <f t="shared" si="27"/>
        <v>2</v>
      </c>
      <c r="Y30" s="22">
        <f t="shared" si="27"/>
        <v>4</v>
      </c>
      <c r="Z30" s="22">
        <f t="shared" si="27"/>
        <v>3</v>
      </c>
      <c r="AA30" s="22">
        <f t="shared" ref="AA30:AC30" si="28">AA9</f>
        <v>4</v>
      </c>
      <c r="AB30" s="22">
        <f>AB9</f>
        <v>2</v>
      </c>
      <c r="AC30" s="22">
        <f t="shared" si="28"/>
        <v>3</v>
      </c>
      <c r="AE30" s="63" t="s">
        <v>321</v>
      </c>
      <c r="AF30" s="22">
        <f t="shared" ref="AF30:AP30" si="29">AF9</f>
        <v>2</v>
      </c>
      <c r="AG30" s="22">
        <f t="shared" si="29"/>
        <v>2</v>
      </c>
      <c r="AH30" s="22">
        <f t="shared" si="29"/>
        <v>4</v>
      </c>
      <c r="AI30" s="22">
        <f t="shared" si="29"/>
        <v>4</v>
      </c>
      <c r="AJ30" s="22">
        <f>AJ9</f>
        <v>2</v>
      </c>
      <c r="AK30" s="22">
        <f>AK9</f>
        <v>2</v>
      </c>
      <c r="AL30" s="22">
        <f>AL9</f>
        <v>3</v>
      </c>
      <c r="AM30" s="22">
        <f t="shared" si="29"/>
        <v>4</v>
      </c>
      <c r="AN30" s="22">
        <f t="shared" si="29"/>
        <v>4</v>
      </c>
      <c r="AO30" s="22">
        <f t="shared" si="29"/>
        <v>4</v>
      </c>
      <c r="AP30" s="22">
        <f t="shared" si="29"/>
        <v>3</v>
      </c>
      <c r="AQ30" s="22">
        <f t="shared" ref="AQ30:AS30" si="30">AQ9</f>
        <v>4</v>
      </c>
      <c r="AR30" s="22">
        <f t="shared" si="30"/>
        <v>4</v>
      </c>
      <c r="AS30" s="22">
        <f t="shared" si="30"/>
        <v>4</v>
      </c>
      <c r="AT30" s="22">
        <f t="shared" ref="AT30:AU30" si="31">AT9</f>
        <v>3</v>
      </c>
      <c r="AU30" s="22">
        <f t="shared" si="31"/>
        <v>2</v>
      </c>
    </row>
    <row r="31" spans="1:47" ht="41.25" customHeight="1" x14ac:dyDescent="0.3">
      <c r="A31" s="63" t="s">
        <v>322</v>
      </c>
      <c r="B31" s="63" t="s">
        <v>322</v>
      </c>
      <c r="C31" s="22">
        <f t="shared" ref="C31:N31" si="32">C11</f>
        <v>7</v>
      </c>
      <c r="D31" s="22">
        <f t="shared" si="32"/>
        <v>4</v>
      </c>
      <c r="E31" s="22">
        <f t="shared" si="32"/>
        <v>7</v>
      </c>
      <c r="F31" s="22">
        <f t="shared" si="32"/>
        <v>7</v>
      </c>
      <c r="G31" s="22">
        <f t="shared" si="32"/>
        <v>7</v>
      </c>
      <c r="H31" s="22">
        <f t="shared" si="32"/>
        <v>7</v>
      </c>
      <c r="I31" s="22">
        <f t="shared" si="32"/>
        <v>2</v>
      </c>
      <c r="J31" s="22">
        <f t="shared" si="32"/>
        <v>4</v>
      </c>
      <c r="K31" s="22">
        <f t="shared" si="32"/>
        <v>4</v>
      </c>
      <c r="L31" s="22">
        <f t="shared" si="32"/>
        <v>6</v>
      </c>
      <c r="M31" s="22">
        <f t="shared" si="32"/>
        <v>6</v>
      </c>
      <c r="N31" s="22">
        <f t="shared" si="32"/>
        <v>4</v>
      </c>
      <c r="O31" s="64"/>
      <c r="P31" s="63" t="s">
        <v>322</v>
      </c>
      <c r="Q31" s="22">
        <f t="shared" ref="Q31:Z31" si="33">Q11</f>
        <v>1</v>
      </c>
      <c r="R31" s="22">
        <f t="shared" si="33"/>
        <v>1</v>
      </c>
      <c r="S31" s="22">
        <f t="shared" si="33"/>
        <v>4</v>
      </c>
      <c r="T31" s="22">
        <f t="shared" si="33"/>
        <v>3</v>
      </c>
      <c r="U31" s="22">
        <f t="shared" si="33"/>
        <v>3</v>
      </c>
      <c r="V31" s="22">
        <f t="shared" si="33"/>
        <v>1</v>
      </c>
      <c r="W31" s="22">
        <f t="shared" si="33"/>
        <v>5</v>
      </c>
      <c r="X31" s="22">
        <f t="shared" si="33"/>
        <v>5</v>
      </c>
      <c r="Y31" s="22">
        <f t="shared" si="33"/>
        <v>3</v>
      </c>
      <c r="Z31" s="22">
        <f t="shared" si="33"/>
        <v>1</v>
      </c>
      <c r="AA31" s="22">
        <f t="shared" ref="AA31:AC31" si="34">AA11</f>
        <v>4</v>
      </c>
      <c r="AB31" s="22">
        <f>AB11</f>
        <v>1</v>
      </c>
      <c r="AC31" s="22">
        <f t="shared" si="34"/>
        <v>4</v>
      </c>
      <c r="AE31" s="63" t="s">
        <v>322</v>
      </c>
      <c r="AF31" s="22">
        <f t="shared" ref="AF31:AP31" si="35">AF11</f>
        <v>4</v>
      </c>
      <c r="AG31" s="22">
        <f t="shared" si="35"/>
        <v>4</v>
      </c>
      <c r="AH31" s="22">
        <f t="shared" si="35"/>
        <v>4</v>
      </c>
      <c r="AI31" s="22">
        <f t="shared" si="35"/>
        <v>4</v>
      </c>
      <c r="AJ31" s="22">
        <f>AJ11</f>
        <v>4</v>
      </c>
      <c r="AK31" s="22">
        <f>AK11</f>
        <v>4</v>
      </c>
      <c r="AL31" s="22">
        <f>AL11</f>
        <v>4</v>
      </c>
      <c r="AM31" s="22">
        <f t="shared" si="35"/>
        <v>4</v>
      </c>
      <c r="AN31" s="22">
        <f t="shared" si="35"/>
        <v>4</v>
      </c>
      <c r="AO31" s="22">
        <f t="shared" si="35"/>
        <v>4</v>
      </c>
      <c r="AP31" s="22">
        <f t="shared" si="35"/>
        <v>4</v>
      </c>
      <c r="AQ31" s="22">
        <f t="shared" ref="AQ31:AS31" si="36">AQ11</f>
        <v>1</v>
      </c>
      <c r="AR31" s="22">
        <f t="shared" si="36"/>
        <v>4</v>
      </c>
      <c r="AS31" s="22">
        <f t="shared" si="36"/>
        <v>4</v>
      </c>
      <c r="AT31" s="22">
        <f t="shared" ref="AT31:AU31" si="37">AT11</f>
        <v>4</v>
      </c>
      <c r="AU31" s="22">
        <f t="shared" si="37"/>
        <v>1</v>
      </c>
    </row>
    <row r="32" spans="1:47" ht="41.25" customHeight="1" x14ac:dyDescent="0.3">
      <c r="A32" s="63" t="s">
        <v>323</v>
      </c>
      <c r="B32" s="63" t="s">
        <v>323</v>
      </c>
      <c r="C32" s="22">
        <f t="shared" ref="C32:N32" si="38">C13</f>
        <v>7</v>
      </c>
      <c r="D32" s="22">
        <f t="shared" si="38"/>
        <v>6</v>
      </c>
      <c r="E32" s="22">
        <f t="shared" si="38"/>
        <v>7</v>
      </c>
      <c r="F32" s="22">
        <f t="shared" si="38"/>
        <v>7</v>
      </c>
      <c r="G32" s="22">
        <f t="shared" si="38"/>
        <v>7</v>
      </c>
      <c r="H32" s="22">
        <f t="shared" si="38"/>
        <v>7</v>
      </c>
      <c r="I32" s="22">
        <f t="shared" si="38"/>
        <v>3</v>
      </c>
      <c r="J32" s="22">
        <f t="shared" si="38"/>
        <v>5</v>
      </c>
      <c r="K32" s="22">
        <f t="shared" si="38"/>
        <v>7</v>
      </c>
      <c r="L32" s="22">
        <f t="shared" si="38"/>
        <v>7</v>
      </c>
      <c r="M32" s="22">
        <f t="shared" si="38"/>
        <v>6</v>
      </c>
      <c r="N32" s="22">
        <f t="shared" si="38"/>
        <v>2</v>
      </c>
      <c r="O32" s="64"/>
      <c r="P32" s="63" t="s">
        <v>323</v>
      </c>
      <c r="Q32" s="22">
        <f t="shared" ref="Q32:Z32" si="39">Q13</f>
        <v>4</v>
      </c>
      <c r="R32" s="22">
        <f t="shared" si="39"/>
        <v>4</v>
      </c>
      <c r="S32" s="22">
        <f t="shared" si="39"/>
        <v>5</v>
      </c>
      <c r="T32" s="22">
        <f t="shared" si="39"/>
        <v>3</v>
      </c>
      <c r="U32" s="22">
        <f t="shared" si="39"/>
        <v>5</v>
      </c>
      <c r="V32" s="22">
        <f t="shared" si="39"/>
        <v>3</v>
      </c>
      <c r="W32" s="22">
        <f t="shared" si="39"/>
        <v>5</v>
      </c>
      <c r="X32" s="22">
        <f t="shared" si="39"/>
        <v>5</v>
      </c>
      <c r="Y32" s="22">
        <f t="shared" si="39"/>
        <v>4</v>
      </c>
      <c r="Z32" s="22">
        <f t="shared" si="39"/>
        <v>3</v>
      </c>
      <c r="AA32" s="22">
        <f t="shared" ref="AA32:AC32" si="40">AA13</f>
        <v>2</v>
      </c>
      <c r="AB32" s="22">
        <f>AB13</f>
        <v>2</v>
      </c>
      <c r="AC32" s="22">
        <f t="shared" si="40"/>
        <v>3</v>
      </c>
      <c r="AE32" s="63" t="s">
        <v>323</v>
      </c>
      <c r="AF32" s="22">
        <f t="shared" ref="AF32:AP32" si="41">AF13</f>
        <v>5</v>
      </c>
      <c r="AG32" s="22">
        <f t="shared" si="41"/>
        <v>6</v>
      </c>
      <c r="AH32" s="22">
        <f t="shared" si="41"/>
        <v>3</v>
      </c>
      <c r="AI32" s="22">
        <f t="shared" si="41"/>
        <v>3</v>
      </c>
      <c r="AJ32" s="22">
        <f>AJ13</f>
        <v>2</v>
      </c>
      <c r="AK32" s="22">
        <f>AK13</f>
        <v>2</v>
      </c>
      <c r="AL32" s="22">
        <f>AL13</f>
        <v>2</v>
      </c>
      <c r="AM32" s="22">
        <f t="shared" si="41"/>
        <v>4</v>
      </c>
      <c r="AN32" s="22">
        <f t="shared" si="41"/>
        <v>5</v>
      </c>
      <c r="AO32" s="22">
        <f t="shared" si="41"/>
        <v>3</v>
      </c>
      <c r="AP32" s="22">
        <f t="shared" si="41"/>
        <v>3</v>
      </c>
      <c r="AQ32" s="22">
        <f t="shared" ref="AQ32:AS32" si="42">AQ13</f>
        <v>3</v>
      </c>
      <c r="AR32" s="22">
        <f t="shared" si="42"/>
        <v>3</v>
      </c>
      <c r="AS32" s="22">
        <f t="shared" si="42"/>
        <v>3</v>
      </c>
      <c r="AT32" s="22">
        <f t="shared" ref="AT32:AU32" si="43">AT13</f>
        <v>4</v>
      </c>
      <c r="AU32" s="22">
        <f t="shared" si="43"/>
        <v>3</v>
      </c>
    </row>
    <row r="33" spans="1:47" ht="41.25" customHeight="1" x14ac:dyDescent="0.3">
      <c r="A33" s="63" t="s">
        <v>324</v>
      </c>
      <c r="B33" s="63" t="s">
        <v>324</v>
      </c>
      <c r="C33" s="22" t="str">
        <f t="shared" ref="C33:N33" si="44">C15</f>
        <v>NA</v>
      </c>
      <c r="D33" s="22" t="str">
        <f t="shared" si="44"/>
        <v>NA</v>
      </c>
      <c r="E33" s="22" t="str">
        <f t="shared" si="44"/>
        <v>NA</v>
      </c>
      <c r="F33" s="22" t="str">
        <f t="shared" si="44"/>
        <v>NA</v>
      </c>
      <c r="G33" s="22" t="str">
        <f t="shared" si="44"/>
        <v>NA</v>
      </c>
      <c r="H33" s="22" t="str">
        <f t="shared" si="44"/>
        <v>NA</v>
      </c>
      <c r="I33" s="22" t="str">
        <f t="shared" si="44"/>
        <v>NA</v>
      </c>
      <c r="J33" s="22" t="str">
        <f t="shared" si="44"/>
        <v>NA</v>
      </c>
      <c r="K33" s="22" t="str">
        <f t="shared" si="44"/>
        <v>NA</v>
      </c>
      <c r="L33" s="22" t="str">
        <f t="shared" si="44"/>
        <v>NA</v>
      </c>
      <c r="M33" s="22" t="str">
        <f t="shared" si="44"/>
        <v>NA</v>
      </c>
      <c r="N33" s="22" t="str">
        <f t="shared" si="44"/>
        <v>NA</v>
      </c>
      <c r="O33" s="64"/>
      <c r="P33" s="63" t="s">
        <v>324</v>
      </c>
      <c r="Q33" s="22" t="str">
        <f t="shared" ref="Q33:Z33" si="45">Q15</f>
        <v>NA</v>
      </c>
      <c r="R33" s="22" t="str">
        <f t="shared" si="45"/>
        <v>NA</v>
      </c>
      <c r="S33" s="22" t="str">
        <f t="shared" si="45"/>
        <v>NA</v>
      </c>
      <c r="T33" s="22" t="str">
        <f t="shared" si="45"/>
        <v>NA</v>
      </c>
      <c r="U33" s="22" t="str">
        <f t="shared" si="45"/>
        <v>NA</v>
      </c>
      <c r="V33" s="22" t="str">
        <f t="shared" si="45"/>
        <v>NA</v>
      </c>
      <c r="W33" s="22" t="str">
        <f t="shared" si="45"/>
        <v>NA</v>
      </c>
      <c r="X33" s="22" t="str">
        <f t="shared" si="45"/>
        <v>NA</v>
      </c>
      <c r="Y33" s="22" t="str">
        <f t="shared" si="45"/>
        <v>NA</v>
      </c>
      <c r="Z33" s="22" t="str">
        <f t="shared" si="45"/>
        <v>NA</v>
      </c>
      <c r="AA33" s="22" t="str">
        <f t="shared" ref="AA33:AC33" si="46">AA15</f>
        <v>NA</v>
      </c>
      <c r="AB33" s="22" t="str">
        <f>AB15</f>
        <v>NA</v>
      </c>
      <c r="AC33" s="22" t="str">
        <f t="shared" si="46"/>
        <v>NA</v>
      </c>
      <c r="AE33" s="63" t="s">
        <v>324</v>
      </c>
      <c r="AF33" s="22" t="str">
        <f t="shared" ref="AF33:AP33" si="47">AF15</f>
        <v>NA</v>
      </c>
      <c r="AG33" s="22" t="str">
        <f t="shared" si="47"/>
        <v>NA</v>
      </c>
      <c r="AH33" s="22" t="str">
        <f t="shared" si="47"/>
        <v>NA</v>
      </c>
      <c r="AI33" s="22" t="str">
        <f t="shared" si="47"/>
        <v>NA</v>
      </c>
      <c r="AJ33" s="22" t="str">
        <f>AJ15</f>
        <v>NA</v>
      </c>
      <c r="AK33" s="22" t="str">
        <f>AK15</f>
        <v>NA</v>
      </c>
      <c r="AL33" s="22" t="str">
        <f>AL15</f>
        <v>NA</v>
      </c>
      <c r="AM33" s="22" t="str">
        <f t="shared" si="47"/>
        <v>NA</v>
      </c>
      <c r="AN33" s="22" t="str">
        <f t="shared" si="47"/>
        <v>NA</v>
      </c>
      <c r="AO33" s="22" t="str">
        <f t="shared" si="47"/>
        <v>NA</v>
      </c>
      <c r="AP33" s="22" t="str">
        <f t="shared" si="47"/>
        <v>NA</v>
      </c>
      <c r="AQ33" s="22" t="str">
        <f t="shared" ref="AQ33:AS33" si="48">AQ15</f>
        <v>NA</v>
      </c>
      <c r="AR33" s="22" t="str">
        <f t="shared" si="48"/>
        <v>NA</v>
      </c>
      <c r="AS33" s="22" t="str">
        <f t="shared" si="48"/>
        <v>NA</v>
      </c>
      <c r="AT33" s="22" t="str">
        <f t="shared" ref="AT33:AU33" si="49">AT15</f>
        <v>NA</v>
      </c>
      <c r="AU33" s="22" t="str">
        <f t="shared" si="49"/>
        <v>NA</v>
      </c>
    </row>
    <row r="34" spans="1:47" x14ac:dyDescent="0.3">
      <c r="A34" s="4"/>
      <c r="B34" s="4"/>
    </row>
    <row r="35" spans="1:47" x14ac:dyDescent="0.3">
      <c r="A35" s="4"/>
      <c r="B35" s="4"/>
      <c r="C35" s="55">
        <f>SUM(C27:C33)</f>
        <v>42</v>
      </c>
      <c r="D35" s="55">
        <f t="shared" ref="D35:AP35" si="50">SUM(D27:D33)</f>
        <v>30</v>
      </c>
      <c r="E35" s="55">
        <f t="shared" si="50"/>
        <v>41</v>
      </c>
      <c r="F35" s="55">
        <f t="shared" si="50"/>
        <v>42</v>
      </c>
      <c r="G35" s="55">
        <f t="shared" si="50"/>
        <v>37</v>
      </c>
      <c r="H35" s="55">
        <f t="shared" si="50"/>
        <v>40</v>
      </c>
      <c r="I35" s="55">
        <f t="shared" si="50"/>
        <v>12</v>
      </c>
      <c r="J35" s="55">
        <f t="shared" si="50"/>
        <v>19</v>
      </c>
      <c r="K35" s="55">
        <f t="shared" si="50"/>
        <v>23</v>
      </c>
      <c r="L35" s="55">
        <f t="shared" si="50"/>
        <v>30</v>
      </c>
      <c r="M35" s="55">
        <f t="shared" si="50"/>
        <v>30</v>
      </c>
      <c r="N35" s="55">
        <f t="shared" si="50"/>
        <v>14</v>
      </c>
      <c r="O35" s="55"/>
      <c r="P35" s="55"/>
      <c r="Q35" s="55">
        <f t="shared" si="50"/>
        <v>15</v>
      </c>
      <c r="R35" s="55">
        <f t="shared" si="50"/>
        <v>15</v>
      </c>
      <c r="S35" s="55">
        <f t="shared" si="50"/>
        <v>23</v>
      </c>
      <c r="T35" s="55">
        <f t="shared" si="50"/>
        <v>13</v>
      </c>
      <c r="U35" s="55">
        <f t="shared" si="50"/>
        <v>19</v>
      </c>
      <c r="V35" s="55">
        <f t="shared" si="50"/>
        <v>14</v>
      </c>
      <c r="W35" s="55">
        <f t="shared" si="50"/>
        <v>21</v>
      </c>
      <c r="X35" s="55">
        <f t="shared" si="50"/>
        <v>21</v>
      </c>
      <c r="Y35" s="55">
        <f t="shared" si="50"/>
        <v>20</v>
      </c>
      <c r="Z35" s="55">
        <f t="shared" si="50"/>
        <v>13</v>
      </c>
      <c r="AA35" s="55">
        <f t="shared" si="50"/>
        <v>18</v>
      </c>
      <c r="AB35" s="55">
        <f t="shared" si="50"/>
        <v>10</v>
      </c>
      <c r="AC35" s="55">
        <f t="shared" si="50"/>
        <v>18</v>
      </c>
      <c r="AD35" s="55"/>
      <c r="AE35" s="55"/>
      <c r="AF35" s="55">
        <f t="shared" si="50"/>
        <v>20</v>
      </c>
      <c r="AG35" s="55">
        <f t="shared" si="50"/>
        <v>21</v>
      </c>
      <c r="AH35" s="55">
        <f t="shared" si="50"/>
        <v>19</v>
      </c>
      <c r="AI35" s="55">
        <f t="shared" si="50"/>
        <v>20</v>
      </c>
      <c r="AJ35" s="55">
        <f>SUM(AJ27:AJ33)</f>
        <v>17</v>
      </c>
      <c r="AK35" s="55">
        <f>SUM(AK27:AK33)</f>
        <v>17</v>
      </c>
      <c r="AL35" s="55">
        <f>SUM(AL27:AL33)</f>
        <v>16</v>
      </c>
      <c r="AM35" s="55">
        <f t="shared" si="50"/>
        <v>20</v>
      </c>
      <c r="AN35" s="55">
        <f t="shared" si="50"/>
        <v>21</v>
      </c>
      <c r="AO35" s="55">
        <f t="shared" si="50"/>
        <v>18</v>
      </c>
      <c r="AP35" s="55">
        <f t="shared" si="50"/>
        <v>18</v>
      </c>
      <c r="AQ35" s="55">
        <f t="shared" ref="AQ35:AS35" si="51">SUM(AQ27:AQ33)</f>
        <v>20</v>
      </c>
      <c r="AR35" s="55">
        <f t="shared" si="51"/>
        <v>23</v>
      </c>
      <c r="AS35" s="55">
        <f t="shared" si="51"/>
        <v>24</v>
      </c>
      <c r="AT35" s="55">
        <f t="shared" ref="AT35:AU35" si="52">SUM(AT27:AT33)</f>
        <v>23</v>
      </c>
      <c r="AU35" s="55">
        <f t="shared" si="52"/>
        <v>11</v>
      </c>
    </row>
    <row r="36" spans="1:47" x14ac:dyDescent="0.3">
      <c r="A36" s="4"/>
      <c r="B36" s="4"/>
      <c r="C36" s="55" t="s">
        <v>388</v>
      </c>
      <c r="D36" s="55" t="s">
        <v>383</v>
      </c>
      <c r="E36" s="55" t="s">
        <v>383</v>
      </c>
      <c r="F36" s="55" t="s">
        <v>325</v>
      </c>
      <c r="G36" s="55" t="s">
        <v>325</v>
      </c>
      <c r="H36" s="55" t="s">
        <v>325</v>
      </c>
      <c r="I36" s="55" t="s">
        <v>385</v>
      </c>
      <c r="J36" s="55" t="s">
        <v>384</v>
      </c>
      <c r="K36" s="55" t="s">
        <v>384</v>
      </c>
      <c r="L36" s="55" t="s">
        <v>383</v>
      </c>
      <c r="M36" s="55" t="s">
        <v>383</v>
      </c>
      <c r="N36" s="55" t="s">
        <v>383</v>
      </c>
      <c r="O36" s="55"/>
      <c r="P36" s="55"/>
      <c r="Q36" s="55" t="s">
        <v>386</v>
      </c>
      <c r="R36" s="55" t="s">
        <v>386</v>
      </c>
      <c r="S36" s="55" t="s">
        <v>385</v>
      </c>
      <c r="T36" s="55" t="s">
        <v>386</v>
      </c>
      <c r="U36" s="55" t="s">
        <v>386</v>
      </c>
      <c r="V36" s="55" t="s">
        <v>386</v>
      </c>
      <c r="W36" s="55" t="s">
        <v>385</v>
      </c>
      <c r="X36" s="55" t="s">
        <v>385</v>
      </c>
      <c r="Y36" s="55" t="s">
        <v>386</v>
      </c>
      <c r="Z36" s="55" t="s">
        <v>386</v>
      </c>
      <c r="AA36" s="55" t="s">
        <v>386</v>
      </c>
      <c r="AB36" s="55" t="s">
        <v>386</v>
      </c>
      <c r="AC36" s="55" t="s">
        <v>386</v>
      </c>
      <c r="AD36" s="55"/>
      <c r="AE36" s="55"/>
      <c r="AF36" s="55" t="s">
        <v>385</v>
      </c>
      <c r="AG36" s="55" t="s">
        <v>385</v>
      </c>
      <c r="AH36" s="55" t="s">
        <v>385</v>
      </c>
      <c r="AI36" s="55" t="s">
        <v>385</v>
      </c>
      <c r="AJ36" s="55" t="s">
        <v>385</v>
      </c>
      <c r="AK36" s="55" t="s">
        <v>385</v>
      </c>
      <c r="AL36" s="55" t="s">
        <v>386</v>
      </c>
      <c r="AM36" s="55" t="s">
        <v>326</v>
      </c>
      <c r="AN36" s="55" t="s">
        <v>385</v>
      </c>
      <c r="AO36" s="55" t="s">
        <v>385</v>
      </c>
      <c r="AP36" s="55" t="s">
        <v>385</v>
      </c>
      <c r="AQ36" s="55" t="s">
        <v>385</v>
      </c>
      <c r="AR36" s="55" t="s">
        <v>385</v>
      </c>
      <c r="AS36" s="55" t="s">
        <v>385</v>
      </c>
      <c r="AT36" s="55" t="s">
        <v>385</v>
      </c>
      <c r="AU36" s="55" t="s">
        <v>386</v>
      </c>
    </row>
    <row r="37" spans="1:47" x14ac:dyDescent="0.3">
      <c r="A37" s="4"/>
      <c r="B37" s="4"/>
    </row>
    <row r="41" spans="1:47" x14ac:dyDescent="0.3">
      <c r="C41" s="54"/>
    </row>
    <row r="42" spans="1:47" x14ac:dyDescent="0.3">
      <c r="B42" s="3"/>
    </row>
    <row r="43" spans="1:47" x14ac:dyDescent="0.3">
      <c r="B43" s="3"/>
    </row>
    <row r="44" spans="1:47" x14ac:dyDescent="0.3">
      <c r="B44" s="3"/>
    </row>
    <row r="45" spans="1:47" x14ac:dyDescent="0.3">
      <c r="B45" s="3"/>
    </row>
    <row r="46" spans="1:47" x14ac:dyDescent="0.3">
      <c r="B46" s="3"/>
    </row>
    <row r="47" spans="1:47" x14ac:dyDescent="0.3">
      <c r="B47" s="3"/>
    </row>
    <row r="48" spans="1:47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</sheetData>
  <mergeCells count="34">
    <mergeCell ref="AT25:AU25"/>
    <mergeCell ref="B13:B14"/>
    <mergeCell ref="B15:B16"/>
    <mergeCell ref="AJ25:AL25"/>
    <mergeCell ref="AF25:AG25"/>
    <mergeCell ref="AH25:AI25"/>
    <mergeCell ref="B5:B6"/>
    <mergeCell ref="B3:B4"/>
    <mergeCell ref="B7:B8"/>
    <mergeCell ref="B9:B10"/>
    <mergeCell ref="B11:B12"/>
    <mergeCell ref="Y1:AC1"/>
    <mergeCell ref="F1:I1"/>
    <mergeCell ref="A9:A10"/>
    <mergeCell ref="C25:E25"/>
    <mergeCell ref="F25:I25"/>
    <mergeCell ref="J25:N25"/>
    <mergeCell ref="J1:N1"/>
    <mergeCell ref="A11:A12"/>
    <mergeCell ref="A13:A14"/>
    <mergeCell ref="A15:A16"/>
    <mergeCell ref="C1:E1"/>
    <mergeCell ref="A3:A4"/>
    <mergeCell ref="A5:A6"/>
    <mergeCell ref="A7:A8"/>
    <mergeCell ref="Q1:V1"/>
    <mergeCell ref="W1:X1"/>
    <mergeCell ref="AQ1:AS1"/>
    <mergeCell ref="AQ25:AS25"/>
    <mergeCell ref="AM25:AP25"/>
    <mergeCell ref="AF1:AG1"/>
    <mergeCell ref="AJ1:AL1"/>
    <mergeCell ref="AH1:AI1"/>
    <mergeCell ref="AM1:AP1"/>
  </mergeCells>
  <conditionalFormatting sqref="C3:AU16">
    <cfRule type="cellIs" dxfId="0" priority="52" operator="lessThan">
      <formula>1</formula>
    </cfRule>
    <cfRule type="dataBar" priority="53">
      <dataBar>
        <cfvo type="num" val="1"/>
        <cfvo type="num" val="7"/>
        <color theme="4"/>
      </dataBar>
      <extLst>
        <ext xmlns:x14="http://schemas.microsoft.com/office/spreadsheetml/2009/9/main" uri="{B025F937-C7B1-47D3-B67F-A62EFF666E3E}">
          <x14:id>{00000000-000E-0000-0100-000001000000}</x14:id>
        </ext>
      </extLst>
    </cfRule>
  </conditionalFormatting>
  <conditionalFormatting sqref="C27:AU33">
    <cfRule type="colorScale" priority="60">
      <colorScale>
        <cfvo type="num" val="1"/>
        <cfvo type="num" val="7"/>
        <color theme="4" tint="0.79998168889431442"/>
        <color theme="4"/>
      </colorScale>
    </cfRule>
  </conditionalFormatting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00000-000E-0000-0100-000001000000}">
            <x14:dataBar minLength="0" maxLength="100" gradient="0">
              <x14:cfvo type="num">
                <xm:f>1</xm:f>
              </x14:cfvo>
              <x14:cfvo type="num">
                <xm:f>7</xm:f>
              </x14:cfvo>
              <x14:negativeFillColor rgb="FFFF0000"/>
              <x14:axisColor rgb="FF000000"/>
            </x14:dataBar>
          </x14:cfRule>
          <xm:sqref>C3:AU16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D81-8E58-46FC-9120-BF9D36EB9A52}">
  <dimension ref="A1:K39"/>
  <sheetViews>
    <sheetView workbookViewId="0">
      <selection activeCell="C10" sqref="C10"/>
    </sheetView>
  </sheetViews>
  <sheetFormatPr defaultColWidth="9.1796875" defaultRowHeight="13" x14ac:dyDescent="0.3"/>
  <cols>
    <col min="1" max="1" width="18.7265625" style="58" bestFit="1" customWidth="1"/>
    <col min="2" max="2" width="9.81640625" style="59" customWidth="1"/>
    <col min="3" max="3" width="12.26953125" style="58" bestFit="1" customWidth="1"/>
    <col min="4" max="16384" width="9.1796875" style="58"/>
  </cols>
  <sheetData>
    <row r="1" spans="1:11" x14ac:dyDescent="0.3">
      <c r="A1" s="56" t="s">
        <v>376</v>
      </c>
      <c r="B1" s="57" t="s">
        <v>377</v>
      </c>
      <c r="C1" s="56" t="s">
        <v>378</v>
      </c>
      <c r="E1" s="56" t="s">
        <v>318</v>
      </c>
      <c r="F1" s="56" t="s">
        <v>319</v>
      </c>
      <c r="G1" s="56" t="s">
        <v>320</v>
      </c>
      <c r="H1" s="56" t="s">
        <v>321</v>
      </c>
      <c r="I1" s="56" t="s">
        <v>322</v>
      </c>
      <c r="J1" s="56" t="s">
        <v>323</v>
      </c>
      <c r="K1" s="56" t="s">
        <v>324</v>
      </c>
    </row>
    <row r="2" spans="1:11" x14ac:dyDescent="0.3">
      <c r="A2" s="56" t="s">
        <v>107</v>
      </c>
      <c r="B2" s="59">
        <v>42</v>
      </c>
      <c r="C2" s="58" t="s">
        <v>325</v>
      </c>
      <c r="E2" s="56">
        <v>7</v>
      </c>
      <c r="F2" s="56">
        <v>7</v>
      </c>
      <c r="G2" s="58">
        <v>7</v>
      </c>
      <c r="H2" s="58">
        <v>7</v>
      </c>
      <c r="I2" s="58">
        <v>7</v>
      </c>
      <c r="J2" s="58">
        <v>7</v>
      </c>
      <c r="K2" s="58" t="s">
        <v>68</v>
      </c>
    </row>
    <row r="3" spans="1:11" x14ac:dyDescent="0.3">
      <c r="A3" s="56" t="s">
        <v>108</v>
      </c>
      <c r="B3" s="59">
        <v>37</v>
      </c>
      <c r="C3" s="58" t="s">
        <v>325</v>
      </c>
      <c r="E3" s="56">
        <v>5</v>
      </c>
      <c r="F3" s="56">
        <v>6</v>
      </c>
      <c r="G3" s="58">
        <v>6</v>
      </c>
      <c r="H3" s="58">
        <v>6</v>
      </c>
      <c r="I3" s="58">
        <v>7</v>
      </c>
      <c r="J3" s="58">
        <v>7</v>
      </c>
      <c r="K3" s="58" t="s">
        <v>68</v>
      </c>
    </row>
    <row r="4" spans="1:11" x14ac:dyDescent="0.3">
      <c r="A4" s="56" t="s">
        <v>109</v>
      </c>
      <c r="B4" s="59">
        <v>40</v>
      </c>
      <c r="C4" s="58" t="s">
        <v>325</v>
      </c>
      <c r="E4" s="56">
        <v>7</v>
      </c>
      <c r="F4" s="56">
        <v>5</v>
      </c>
      <c r="G4" s="58">
        <v>7</v>
      </c>
      <c r="H4" s="58">
        <v>7</v>
      </c>
      <c r="I4" s="58">
        <v>7</v>
      </c>
      <c r="J4" s="58">
        <v>7</v>
      </c>
      <c r="K4" s="58" t="s">
        <v>68</v>
      </c>
    </row>
    <row r="5" spans="1:11" x14ac:dyDescent="0.3">
      <c r="A5" s="56" t="s">
        <v>106</v>
      </c>
      <c r="B5" s="57">
        <v>41</v>
      </c>
      <c r="C5" s="56" t="s">
        <v>325</v>
      </c>
      <c r="E5" s="56">
        <v>7</v>
      </c>
      <c r="F5" s="56">
        <v>6</v>
      </c>
      <c r="G5" s="56">
        <v>7</v>
      </c>
      <c r="H5" s="56">
        <v>7</v>
      </c>
      <c r="I5" s="56">
        <v>7</v>
      </c>
      <c r="J5" s="56">
        <v>7</v>
      </c>
      <c r="K5" s="56" t="s">
        <v>68</v>
      </c>
    </row>
    <row r="6" spans="1:11" x14ac:dyDescent="0.3">
      <c r="A6" s="56" t="s">
        <v>23</v>
      </c>
      <c r="B6" s="57">
        <v>25</v>
      </c>
      <c r="C6" s="56" t="s">
        <v>383</v>
      </c>
      <c r="E6" s="56">
        <v>6</v>
      </c>
      <c r="F6" s="56">
        <v>5</v>
      </c>
      <c r="G6" s="56">
        <v>4</v>
      </c>
      <c r="H6" s="56" t="s">
        <v>326</v>
      </c>
      <c r="I6" s="56">
        <v>4</v>
      </c>
      <c r="J6" s="56">
        <v>6</v>
      </c>
      <c r="K6" s="56" t="s">
        <v>68</v>
      </c>
    </row>
    <row r="7" spans="1:11" x14ac:dyDescent="0.3">
      <c r="A7" s="56" t="s">
        <v>26</v>
      </c>
      <c r="B7" s="59">
        <v>41</v>
      </c>
      <c r="C7" s="56" t="s">
        <v>383</v>
      </c>
      <c r="E7" s="56">
        <v>7</v>
      </c>
      <c r="F7" s="56">
        <v>6</v>
      </c>
      <c r="G7" s="56">
        <v>7</v>
      </c>
      <c r="H7" s="58">
        <v>7</v>
      </c>
      <c r="I7" s="58">
        <v>7</v>
      </c>
      <c r="J7" s="58">
        <v>7</v>
      </c>
      <c r="K7" s="58" t="s">
        <v>68</v>
      </c>
    </row>
    <row r="8" spans="1:11" x14ac:dyDescent="0.3">
      <c r="A8" s="58" t="s">
        <v>111</v>
      </c>
      <c r="B8" s="59">
        <v>30</v>
      </c>
      <c r="C8" s="56" t="s">
        <v>383</v>
      </c>
      <c r="E8" s="58">
        <v>6</v>
      </c>
      <c r="F8" s="58">
        <v>2</v>
      </c>
      <c r="G8" s="58">
        <v>4</v>
      </c>
      <c r="H8" s="58">
        <v>5</v>
      </c>
      <c r="I8" s="58">
        <v>6</v>
      </c>
      <c r="J8" s="58">
        <v>7</v>
      </c>
      <c r="K8" s="58" t="s">
        <v>68</v>
      </c>
    </row>
    <row r="9" spans="1:11" x14ac:dyDescent="0.3">
      <c r="A9" s="58" t="s">
        <v>112</v>
      </c>
      <c r="B9" s="59">
        <v>30</v>
      </c>
      <c r="C9" s="56" t="s">
        <v>383</v>
      </c>
      <c r="E9" s="58">
        <v>5</v>
      </c>
      <c r="F9" s="58">
        <v>3</v>
      </c>
      <c r="G9" s="58">
        <v>5</v>
      </c>
      <c r="H9" s="58">
        <v>5</v>
      </c>
      <c r="I9" s="58">
        <v>6</v>
      </c>
      <c r="J9" s="58">
        <v>6</v>
      </c>
      <c r="K9" s="58" t="s">
        <v>68</v>
      </c>
    </row>
    <row r="10" spans="1:11" x14ac:dyDescent="0.3">
      <c r="A10" s="56" t="s">
        <v>37</v>
      </c>
      <c r="B10" s="59">
        <v>17</v>
      </c>
      <c r="C10" s="58" t="s">
        <v>384</v>
      </c>
      <c r="E10" s="56">
        <v>3</v>
      </c>
      <c r="F10" s="56">
        <v>2</v>
      </c>
      <c r="G10" s="58">
        <v>3</v>
      </c>
      <c r="H10" s="58" t="s">
        <v>326</v>
      </c>
      <c r="I10" s="58">
        <v>4</v>
      </c>
      <c r="J10" s="58">
        <v>5</v>
      </c>
      <c r="K10" s="58" t="s">
        <v>68</v>
      </c>
    </row>
    <row r="11" spans="1:11" x14ac:dyDescent="0.3">
      <c r="A11" s="58" t="s">
        <v>379</v>
      </c>
      <c r="B11" s="59">
        <v>19</v>
      </c>
      <c r="C11" s="58" t="s">
        <v>384</v>
      </c>
      <c r="E11" s="58">
        <v>3</v>
      </c>
      <c r="F11" s="58">
        <v>2</v>
      </c>
      <c r="G11" s="58">
        <v>3</v>
      </c>
      <c r="H11" s="58" t="s">
        <v>326</v>
      </c>
      <c r="I11" s="58">
        <v>4</v>
      </c>
      <c r="J11" s="58">
        <v>7</v>
      </c>
      <c r="K11" s="58" t="s">
        <v>68</v>
      </c>
    </row>
    <row r="12" spans="1:11" x14ac:dyDescent="0.3">
      <c r="A12" s="58" t="s">
        <v>113</v>
      </c>
      <c r="B12" s="59">
        <v>14</v>
      </c>
      <c r="C12" s="58" t="s">
        <v>384</v>
      </c>
      <c r="E12" s="58">
        <v>2</v>
      </c>
      <c r="F12" s="58">
        <v>2</v>
      </c>
      <c r="G12" s="58">
        <v>3</v>
      </c>
      <c r="H12" s="58">
        <v>1</v>
      </c>
      <c r="I12" s="58">
        <v>4</v>
      </c>
      <c r="J12" s="58">
        <v>2</v>
      </c>
      <c r="K12" s="58" t="s">
        <v>68</v>
      </c>
    </row>
    <row r="13" spans="1:11" x14ac:dyDescent="0.3">
      <c r="A13" s="58" t="s">
        <v>66</v>
      </c>
      <c r="B13" s="59">
        <v>22</v>
      </c>
      <c r="C13" s="58" t="s">
        <v>385</v>
      </c>
      <c r="E13" s="58">
        <v>5</v>
      </c>
      <c r="F13" s="58" t="s">
        <v>68</v>
      </c>
      <c r="G13" s="58">
        <v>4</v>
      </c>
      <c r="H13" s="58">
        <v>4</v>
      </c>
      <c r="I13" s="58">
        <v>5</v>
      </c>
      <c r="J13" s="58">
        <v>4</v>
      </c>
      <c r="K13" s="58" t="s">
        <v>68</v>
      </c>
    </row>
    <row r="14" spans="1:11" x14ac:dyDescent="0.3">
      <c r="A14" s="58" t="s">
        <v>58</v>
      </c>
      <c r="B14" s="59">
        <v>23</v>
      </c>
      <c r="C14" s="58" t="s">
        <v>385</v>
      </c>
      <c r="E14" s="58">
        <v>5</v>
      </c>
      <c r="F14" s="58">
        <v>2</v>
      </c>
      <c r="G14" s="58">
        <v>5</v>
      </c>
      <c r="H14" s="58">
        <v>2</v>
      </c>
      <c r="I14" s="58">
        <v>4</v>
      </c>
      <c r="J14" s="58">
        <v>5</v>
      </c>
      <c r="K14" s="58" t="s">
        <v>68</v>
      </c>
    </row>
    <row r="15" spans="1:11" x14ac:dyDescent="0.3">
      <c r="A15" s="58" t="s">
        <v>76</v>
      </c>
      <c r="B15" s="59">
        <v>21</v>
      </c>
      <c r="C15" s="58" t="s">
        <v>385</v>
      </c>
      <c r="E15" s="58">
        <v>5</v>
      </c>
      <c r="F15" s="58">
        <v>1</v>
      </c>
      <c r="G15" s="58">
        <v>3</v>
      </c>
      <c r="H15" s="58">
        <v>2</v>
      </c>
      <c r="I15" s="58">
        <v>5</v>
      </c>
      <c r="J15" s="58">
        <v>5</v>
      </c>
      <c r="K15" s="58" t="s">
        <v>68</v>
      </c>
    </row>
    <row r="16" spans="1:11" x14ac:dyDescent="0.3">
      <c r="A16" s="58" t="s">
        <v>79</v>
      </c>
      <c r="B16" s="59">
        <v>21</v>
      </c>
      <c r="C16" s="58" t="s">
        <v>385</v>
      </c>
      <c r="E16" s="58">
        <v>4</v>
      </c>
      <c r="F16" s="58">
        <v>2</v>
      </c>
      <c r="G16" s="58">
        <v>3</v>
      </c>
      <c r="H16" s="58">
        <v>2</v>
      </c>
      <c r="I16" s="58">
        <v>5</v>
      </c>
      <c r="J16" s="58">
        <v>5</v>
      </c>
      <c r="K16" s="58" t="s">
        <v>68</v>
      </c>
    </row>
    <row r="17" spans="1:11" x14ac:dyDescent="0.3">
      <c r="A17" s="58" t="s">
        <v>116</v>
      </c>
      <c r="B17" s="59">
        <v>20</v>
      </c>
      <c r="C17" s="58" t="s">
        <v>385</v>
      </c>
      <c r="E17" s="58">
        <v>3</v>
      </c>
      <c r="F17" s="58">
        <v>2</v>
      </c>
      <c r="G17" s="58">
        <v>4</v>
      </c>
      <c r="H17" s="58">
        <v>2</v>
      </c>
      <c r="I17" s="58">
        <v>4</v>
      </c>
      <c r="J17" s="58">
        <v>5</v>
      </c>
      <c r="K17" s="58" t="s">
        <v>68</v>
      </c>
    </row>
    <row r="18" spans="1:11" x14ac:dyDescent="0.3">
      <c r="A18" s="58" t="s">
        <v>117</v>
      </c>
      <c r="B18" s="59">
        <v>21</v>
      </c>
      <c r="C18" s="58" t="s">
        <v>385</v>
      </c>
      <c r="E18" s="58">
        <v>3</v>
      </c>
      <c r="F18" s="58">
        <v>2</v>
      </c>
      <c r="G18" s="58">
        <v>4</v>
      </c>
      <c r="H18" s="58">
        <v>2</v>
      </c>
      <c r="I18" s="58">
        <v>4</v>
      </c>
      <c r="J18" s="58">
        <v>6</v>
      </c>
      <c r="K18" s="58" t="s">
        <v>68</v>
      </c>
    </row>
    <row r="19" spans="1:11" x14ac:dyDescent="0.3">
      <c r="A19" s="58" t="s">
        <v>119</v>
      </c>
      <c r="B19" s="59">
        <v>20</v>
      </c>
      <c r="C19" s="58" t="s">
        <v>385</v>
      </c>
      <c r="E19" s="58">
        <v>4</v>
      </c>
      <c r="F19" s="58">
        <v>2</v>
      </c>
      <c r="G19" s="58">
        <v>3</v>
      </c>
      <c r="H19" s="58">
        <v>4</v>
      </c>
      <c r="I19" s="58">
        <v>4</v>
      </c>
      <c r="J19" s="58">
        <v>3</v>
      </c>
      <c r="K19" s="58" t="s">
        <v>68</v>
      </c>
    </row>
    <row r="20" spans="1:11" x14ac:dyDescent="0.3">
      <c r="A20" s="58" t="s">
        <v>130</v>
      </c>
      <c r="B20" s="59">
        <v>19</v>
      </c>
      <c r="C20" s="58" t="s">
        <v>385</v>
      </c>
      <c r="E20" s="58">
        <v>3</v>
      </c>
      <c r="F20" s="58" t="s">
        <v>326</v>
      </c>
      <c r="G20" s="58">
        <v>5</v>
      </c>
      <c r="H20" s="58">
        <v>3</v>
      </c>
      <c r="I20" s="58">
        <v>4</v>
      </c>
      <c r="J20" s="58">
        <v>4</v>
      </c>
      <c r="K20" s="58" t="s">
        <v>68</v>
      </c>
    </row>
    <row r="21" spans="1:11" x14ac:dyDescent="0.3">
      <c r="A21" s="58" t="s">
        <v>120</v>
      </c>
      <c r="B21" s="59">
        <v>17</v>
      </c>
      <c r="C21" s="58" t="s">
        <v>385</v>
      </c>
      <c r="E21" s="58">
        <v>3</v>
      </c>
      <c r="F21" s="58">
        <v>2</v>
      </c>
      <c r="G21" s="58">
        <v>4</v>
      </c>
      <c r="H21" s="58">
        <v>2</v>
      </c>
      <c r="I21" s="58">
        <v>4</v>
      </c>
      <c r="J21" s="58">
        <v>2</v>
      </c>
      <c r="K21" s="58" t="s">
        <v>68</v>
      </c>
    </row>
    <row r="22" spans="1:11" x14ac:dyDescent="0.3">
      <c r="A22" s="58" t="s">
        <v>121</v>
      </c>
      <c r="B22" s="59">
        <v>17</v>
      </c>
      <c r="C22" s="58" t="s">
        <v>385</v>
      </c>
      <c r="E22" s="58">
        <v>3</v>
      </c>
      <c r="F22" s="58">
        <v>2</v>
      </c>
      <c r="G22" s="58">
        <v>4</v>
      </c>
      <c r="H22" s="58">
        <v>2</v>
      </c>
      <c r="I22" s="58">
        <v>4</v>
      </c>
      <c r="J22" s="58">
        <v>2</v>
      </c>
      <c r="K22" s="58" t="s">
        <v>68</v>
      </c>
    </row>
    <row r="23" spans="1:11" x14ac:dyDescent="0.3">
      <c r="A23" s="58" t="s">
        <v>118</v>
      </c>
      <c r="B23" s="59">
        <v>19</v>
      </c>
      <c r="C23" s="58" t="s">
        <v>385</v>
      </c>
      <c r="E23" s="58">
        <v>3</v>
      </c>
      <c r="F23" s="58">
        <v>2</v>
      </c>
      <c r="G23" s="58">
        <v>3</v>
      </c>
      <c r="H23" s="58">
        <v>4</v>
      </c>
      <c r="I23" s="58">
        <v>4</v>
      </c>
      <c r="J23" s="58">
        <v>3</v>
      </c>
      <c r="K23" s="58" t="s">
        <v>68</v>
      </c>
    </row>
    <row r="24" spans="1:11" x14ac:dyDescent="0.3">
      <c r="A24" s="56" t="s">
        <v>35</v>
      </c>
      <c r="B24" s="59">
        <v>12</v>
      </c>
      <c r="C24" s="58" t="s">
        <v>385</v>
      </c>
      <c r="E24" s="56">
        <v>2</v>
      </c>
      <c r="F24" s="56">
        <v>1</v>
      </c>
      <c r="G24" s="58">
        <v>3</v>
      </c>
      <c r="H24" s="58">
        <v>1</v>
      </c>
      <c r="I24" s="58">
        <v>2</v>
      </c>
      <c r="J24" s="58">
        <v>3</v>
      </c>
      <c r="K24" s="58" t="s">
        <v>68</v>
      </c>
    </row>
    <row r="25" spans="1:11" x14ac:dyDescent="0.3">
      <c r="A25" s="58" t="s">
        <v>55</v>
      </c>
      <c r="B25" s="59">
        <v>15</v>
      </c>
      <c r="C25" s="58" t="s">
        <v>386</v>
      </c>
      <c r="E25" s="58">
        <v>1</v>
      </c>
      <c r="F25" s="58">
        <v>2</v>
      </c>
      <c r="G25" s="58">
        <v>5</v>
      </c>
      <c r="H25" s="58">
        <v>2</v>
      </c>
      <c r="I25" s="58">
        <v>1</v>
      </c>
      <c r="J25" s="58">
        <v>4</v>
      </c>
      <c r="K25" s="58" t="s">
        <v>68</v>
      </c>
    </row>
    <row r="26" spans="1:11" x14ac:dyDescent="0.3">
      <c r="A26" s="58" t="s">
        <v>57</v>
      </c>
      <c r="B26" s="59">
        <v>15</v>
      </c>
      <c r="C26" s="58" t="s">
        <v>386</v>
      </c>
      <c r="E26" s="58">
        <v>1</v>
      </c>
      <c r="F26" s="58">
        <v>2</v>
      </c>
      <c r="G26" s="58">
        <v>5</v>
      </c>
      <c r="H26" s="58">
        <v>2</v>
      </c>
      <c r="I26" s="58">
        <v>1</v>
      </c>
      <c r="J26" s="58">
        <v>4</v>
      </c>
      <c r="K26" s="58" t="s">
        <v>68</v>
      </c>
    </row>
    <row r="27" spans="1:11" x14ac:dyDescent="0.3">
      <c r="A27" s="58" t="s">
        <v>63</v>
      </c>
      <c r="B27" s="59">
        <v>13</v>
      </c>
      <c r="C27" s="58" t="s">
        <v>386</v>
      </c>
      <c r="E27" s="58">
        <v>1</v>
      </c>
      <c r="F27" s="58">
        <v>2</v>
      </c>
      <c r="G27" s="58">
        <v>2</v>
      </c>
      <c r="H27" s="58">
        <v>2</v>
      </c>
      <c r="I27" s="58">
        <v>3</v>
      </c>
      <c r="J27" s="58">
        <v>3</v>
      </c>
      <c r="K27" s="58" t="s">
        <v>68</v>
      </c>
    </row>
    <row r="28" spans="1:11" x14ac:dyDescent="0.3">
      <c r="A28" s="58" t="s">
        <v>114</v>
      </c>
      <c r="B28" s="59">
        <v>19</v>
      </c>
      <c r="C28" s="58" t="s">
        <v>386</v>
      </c>
      <c r="E28" s="58">
        <v>2</v>
      </c>
      <c r="F28" s="58">
        <v>2</v>
      </c>
      <c r="G28" s="58">
        <v>5</v>
      </c>
      <c r="H28" s="58">
        <v>2</v>
      </c>
      <c r="I28" s="58">
        <v>3</v>
      </c>
      <c r="J28" s="58">
        <v>5</v>
      </c>
      <c r="K28" s="58" t="s">
        <v>68</v>
      </c>
    </row>
    <row r="29" spans="1:11" x14ac:dyDescent="0.3">
      <c r="A29" s="58" t="s">
        <v>62</v>
      </c>
      <c r="B29" s="59">
        <v>14</v>
      </c>
      <c r="C29" s="58" t="s">
        <v>386</v>
      </c>
      <c r="E29" s="58">
        <v>1</v>
      </c>
      <c r="F29" s="58">
        <v>2</v>
      </c>
      <c r="G29" s="58">
        <v>5</v>
      </c>
      <c r="H29" s="58">
        <v>2</v>
      </c>
      <c r="I29" s="58">
        <v>1</v>
      </c>
      <c r="J29" s="58">
        <v>3</v>
      </c>
      <c r="K29" s="58" t="s">
        <v>68</v>
      </c>
    </row>
    <row r="30" spans="1:11" x14ac:dyDescent="0.3">
      <c r="A30" s="58" t="s">
        <v>69</v>
      </c>
      <c r="B30" s="59">
        <v>13</v>
      </c>
      <c r="C30" s="58" t="s">
        <v>386</v>
      </c>
      <c r="E30" s="58">
        <v>2</v>
      </c>
      <c r="F30" s="58">
        <v>1</v>
      </c>
      <c r="G30" s="58">
        <v>3</v>
      </c>
      <c r="H30" s="58">
        <v>3</v>
      </c>
      <c r="I30" s="58">
        <v>1</v>
      </c>
      <c r="J30" s="58">
        <v>3</v>
      </c>
      <c r="K30" s="58" t="s">
        <v>68</v>
      </c>
    </row>
    <row r="31" spans="1:11" x14ac:dyDescent="0.3">
      <c r="A31" s="58" t="s">
        <v>115</v>
      </c>
      <c r="B31" s="59">
        <v>18</v>
      </c>
      <c r="C31" s="58" t="s">
        <v>386</v>
      </c>
      <c r="E31" s="58">
        <v>3</v>
      </c>
      <c r="F31" s="58">
        <v>1</v>
      </c>
      <c r="G31" s="58">
        <v>4</v>
      </c>
      <c r="H31" s="58">
        <v>4</v>
      </c>
      <c r="I31" s="58">
        <v>4</v>
      </c>
      <c r="J31" s="58">
        <v>2</v>
      </c>
      <c r="K31" s="58" t="s">
        <v>68</v>
      </c>
    </row>
    <row r="32" spans="1:11" x14ac:dyDescent="0.3">
      <c r="A32" s="58" t="s">
        <v>81</v>
      </c>
      <c r="B32" s="59">
        <v>10</v>
      </c>
      <c r="C32" s="58" t="s">
        <v>386</v>
      </c>
      <c r="E32" s="58">
        <v>1</v>
      </c>
      <c r="F32" s="58">
        <v>1</v>
      </c>
      <c r="G32" s="58">
        <v>3</v>
      </c>
      <c r="H32" s="58">
        <v>2</v>
      </c>
      <c r="I32" s="58">
        <v>1</v>
      </c>
      <c r="J32" s="58">
        <v>2</v>
      </c>
      <c r="K32" s="58" t="s">
        <v>68</v>
      </c>
    </row>
    <row r="33" spans="1:11" x14ac:dyDescent="0.3">
      <c r="A33" s="58" t="s">
        <v>72</v>
      </c>
      <c r="B33" s="59">
        <v>18</v>
      </c>
      <c r="C33" s="58" t="s">
        <v>386</v>
      </c>
      <c r="E33" s="58">
        <v>3</v>
      </c>
      <c r="F33" s="58">
        <v>1</v>
      </c>
      <c r="G33" s="58">
        <v>4</v>
      </c>
      <c r="H33" s="58">
        <v>3</v>
      </c>
      <c r="I33" s="58">
        <v>4</v>
      </c>
      <c r="J33" s="58">
        <v>3</v>
      </c>
      <c r="K33" s="58" t="s">
        <v>68</v>
      </c>
    </row>
    <row r="34" spans="1:11" x14ac:dyDescent="0.3">
      <c r="A34" s="58" t="s">
        <v>122</v>
      </c>
      <c r="B34" s="59">
        <v>14</v>
      </c>
      <c r="C34" s="58" t="s">
        <v>386</v>
      </c>
      <c r="E34" s="58">
        <v>2</v>
      </c>
      <c r="F34" s="58">
        <v>1</v>
      </c>
      <c r="G34" s="58">
        <v>2</v>
      </c>
      <c r="H34" s="58">
        <v>3</v>
      </c>
      <c r="I34" s="58">
        <v>4</v>
      </c>
      <c r="J34" s="58">
        <v>2</v>
      </c>
      <c r="K34" s="58" t="s">
        <v>68</v>
      </c>
    </row>
    <row r="36" spans="1:11" x14ac:dyDescent="0.3">
      <c r="A36" s="58" t="s">
        <v>123</v>
      </c>
      <c r="B36" s="59">
        <v>15</v>
      </c>
      <c r="C36" s="58" t="s">
        <v>326</v>
      </c>
      <c r="E36" s="58">
        <v>4</v>
      </c>
      <c r="F36" s="58" t="s">
        <v>326</v>
      </c>
      <c r="G36" s="58">
        <v>2</v>
      </c>
      <c r="H36" s="58" t="s">
        <v>326</v>
      </c>
      <c r="I36" s="58">
        <v>4</v>
      </c>
      <c r="J36" s="58">
        <v>5</v>
      </c>
      <c r="K36" s="58" t="s">
        <v>68</v>
      </c>
    </row>
    <row r="37" spans="1:11" x14ac:dyDescent="0.3">
      <c r="A37" s="58" t="s">
        <v>124</v>
      </c>
      <c r="B37" s="59">
        <v>21</v>
      </c>
      <c r="C37" s="58" t="s">
        <v>385</v>
      </c>
      <c r="E37" s="58">
        <v>3</v>
      </c>
      <c r="F37" s="58">
        <v>2</v>
      </c>
      <c r="G37" s="58">
        <v>3</v>
      </c>
      <c r="H37" s="58">
        <v>4</v>
      </c>
      <c r="I37" s="58">
        <v>4</v>
      </c>
      <c r="J37" s="58">
        <v>5</v>
      </c>
      <c r="K37" s="58" t="s">
        <v>68</v>
      </c>
    </row>
    <row r="38" spans="1:11" x14ac:dyDescent="0.3">
      <c r="A38" s="58" t="s">
        <v>125</v>
      </c>
      <c r="B38" s="59">
        <v>18</v>
      </c>
      <c r="C38" s="58" t="s">
        <v>385</v>
      </c>
      <c r="E38" s="58">
        <v>2</v>
      </c>
      <c r="F38" s="58">
        <v>2</v>
      </c>
      <c r="G38" s="58">
        <v>3</v>
      </c>
      <c r="H38" s="58">
        <v>4</v>
      </c>
      <c r="I38" s="58">
        <v>4</v>
      </c>
      <c r="J38" s="58">
        <v>3</v>
      </c>
      <c r="K38" s="58" t="s">
        <v>68</v>
      </c>
    </row>
    <row r="39" spans="1:11" x14ac:dyDescent="0.3">
      <c r="A39" s="58" t="s">
        <v>126</v>
      </c>
      <c r="B39" s="59">
        <v>18</v>
      </c>
      <c r="C39" s="58" t="s">
        <v>385</v>
      </c>
      <c r="E39" s="58">
        <v>3</v>
      </c>
      <c r="F39" s="58">
        <v>2</v>
      </c>
      <c r="G39" s="58">
        <v>3</v>
      </c>
      <c r="H39" s="58">
        <v>3</v>
      </c>
      <c r="I39" s="58">
        <v>4</v>
      </c>
      <c r="J39" s="58">
        <v>3</v>
      </c>
      <c r="K39" s="58" t="s">
        <v>68</v>
      </c>
    </row>
  </sheetData>
  <sortState xmlns:xlrd2="http://schemas.microsoft.com/office/spreadsheetml/2017/richdata2" ref="A2:K42">
    <sortCondition ref="C6:C42"/>
  </sortState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6120-6C43-48A9-9172-F5FBCA8A5143}">
  <dimension ref="A1:AN48"/>
  <sheetViews>
    <sheetView zoomScaleNormal="100" workbookViewId="0">
      <selection activeCell="K20" sqref="K20"/>
    </sheetView>
  </sheetViews>
  <sheetFormatPr defaultColWidth="9.1796875" defaultRowHeight="13" x14ac:dyDescent="0.3"/>
  <cols>
    <col min="1" max="1" width="9.1796875" style="8"/>
    <col min="2" max="2" width="27.1796875" style="4" customWidth="1"/>
    <col min="3" max="3" width="23.7265625" style="4" hidden="1" customWidth="1"/>
    <col min="4" max="4" width="23.7265625" style="7" hidden="1" customWidth="1"/>
    <col min="5" max="6" width="6.81640625" style="18" customWidth="1"/>
    <col min="7" max="7" width="2.26953125" style="18" hidden="1" customWidth="1"/>
    <col min="8" max="9" width="6.81640625" style="18" hidden="1" customWidth="1"/>
    <col min="10" max="10" width="3.7265625" style="8" customWidth="1"/>
    <col min="11" max="12" width="11.81640625" style="8" customWidth="1"/>
    <col min="13" max="13" width="1.81640625" style="8" customWidth="1"/>
    <col min="14" max="18" width="11.81640625" style="8" customWidth="1"/>
    <col min="19" max="19" width="9.1796875" style="8"/>
    <col min="20" max="20" width="38.1796875" style="8" customWidth="1"/>
    <col min="21" max="22" width="17.453125" style="8" customWidth="1"/>
    <col min="23" max="23" width="15.1796875" style="8" customWidth="1"/>
    <col min="24" max="16384" width="9.1796875" style="8"/>
  </cols>
  <sheetData>
    <row r="1" spans="1:29" x14ac:dyDescent="0.3">
      <c r="E1" s="75" t="s">
        <v>0</v>
      </c>
      <c r="F1" s="75"/>
      <c r="G1" s="75"/>
      <c r="H1" s="75"/>
      <c r="I1" s="75"/>
      <c r="K1" s="77" t="s">
        <v>0</v>
      </c>
      <c r="L1" s="77"/>
      <c r="N1" s="77" t="s">
        <v>1</v>
      </c>
      <c r="O1" s="77"/>
      <c r="P1" s="77"/>
      <c r="Q1" s="77"/>
      <c r="R1" s="77"/>
    </row>
    <row r="2" spans="1:29" s="1" customFormat="1" ht="30.75" customHeight="1" x14ac:dyDescent="0.3">
      <c r="B2" s="6"/>
      <c r="C2" s="6"/>
      <c r="D2" s="9"/>
      <c r="E2" s="75" t="s">
        <v>2</v>
      </c>
      <c r="F2" s="75"/>
      <c r="G2" s="10"/>
      <c r="H2" s="75" t="s">
        <v>3</v>
      </c>
      <c r="I2" s="75"/>
      <c r="K2" s="77"/>
      <c r="L2" s="77"/>
      <c r="N2" s="77"/>
      <c r="O2" s="77"/>
      <c r="P2" s="77"/>
      <c r="Q2" s="77"/>
      <c r="R2" s="77"/>
      <c r="U2" s="76" t="s">
        <v>4</v>
      </c>
      <c r="V2" s="76"/>
      <c r="W2" s="76"/>
      <c r="Y2" s="25"/>
    </row>
    <row r="3" spans="1:29" s="1" customFormat="1" ht="26" x14ac:dyDescent="0.3">
      <c r="B3" s="13" t="s">
        <v>5</v>
      </c>
      <c r="C3" s="1" t="s">
        <v>6</v>
      </c>
      <c r="D3" s="11" t="s">
        <v>7</v>
      </c>
      <c r="E3" s="12" t="s">
        <v>8</v>
      </c>
      <c r="F3" s="12" t="s">
        <v>9</v>
      </c>
      <c r="G3" s="10"/>
      <c r="H3" s="12" t="s">
        <v>8</v>
      </c>
      <c r="I3" s="12" t="s">
        <v>9</v>
      </c>
      <c r="K3" s="13" t="s">
        <v>10</v>
      </c>
      <c r="L3" s="13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13" t="s">
        <v>16</v>
      </c>
      <c r="U3" s="1" t="s">
        <v>10</v>
      </c>
      <c r="V3" s="1" t="s">
        <v>17</v>
      </c>
      <c r="W3" s="1" t="s">
        <v>18</v>
      </c>
      <c r="Y3" s="13" t="s">
        <v>12</v>
      </c>
      <c r="Z3" s="13" t="s">
        <v>13</v>
      </c>
      <c r="AA3" s="13" t="s">
        <v>14</v>
      </c>
      <c r="AB3" s="13" t="s">
        <v>15</v>
      </c>
      <c r="AC3" s="13" t="s">
        <v>16</v>
      </c>
    </row>
    <row r="4" spans="1:29" x14ac:dyDescent="0.3">
      <c r="B4" s="14"/>
      <c r="C4" s="14"/>
      <c r="D4" s="15"/>
      <c r="E4" s="16"/>
      <c r="F4" s="16"/>
      <c r="G4" s="16"/>
      <c r="H4" s="16"/>
      <c r="I4" s="16"/>
      <c r="J4" s="17"/>
      <c r="K4" s="17"/>
      <c r="L4" s="17"/>
      <c r="M4" s="17"/>
      <c r="N4" s="18">
        <f>30*80</f>
        <v>2400</v>
      </c>
      <c r="O4" s="18">
        <f>100*80</f>
        <v>8000</v>
      </c>
      <c r="P4" s="18">
        <f>450*0.8*20</f>
        <v>7200</v>
      </c>
      <c r="Q4" s="18">
        <f>450*0.8*40</f>
        <v>14400</v>
      </c>
      <c r="R4" s="18">
        <f>1100*20</f>
        <v>22000</v>
      </c>
      <c r="T4" s="6"/>
      <c r="Y4" s="18">
        <f>6*80</f>
        <v>480</v>
      </c>
      <c r="Z4" s="18">
        <f>20*80</f>
        <v>1600</v>
      </c>
      <c r="AA4" s="18">
        <f>450*0.8*6</f>
        <v>2160</v>
      </c>
      <c r="AB4" s="18">
        <f>450*0.8*12</f>
        <v>4320</v>
      </c>
      <c r="AC4" s="18">
        <f>1100*6</f>
        <v>6600</v>
      </c>
    </row>
    <row r="5" spans="1:29" ht="12.75" customHeight="1" x14ac:dyDescent="0.3">
      <c r="A5" s="72" t="s">
        <v>19</v>
      </c>
      <c r="B5" s="4" t="s">
        <v>20</v>
      </c>
      <c r="C5" s="4" t="s">
        <v>21</v>
      </c>
      <c r="D5" s="7" t="s">
        <v>22</v>
      </c>
      <c r="E5" s="18">
        <f>11727 +5274</f>
        <v>17001</v>
      </c>
      <c r="F5" s="18">
        <f>10958+8144</f>
        <v>19102</v>
      </c>
      <c r="H5" s="18">
        <f>8762+808</f>
        <v>9570</v>
      </c>
      <c r="K5" s="8">
        <f>0.6*E5</f>
        <v>10200.6</v>
      </c>
      <c r="L5" s="8">
        <f>0.6*F5</f>
        <v>11461.199999999999</v>
      </c>
      <c r="N5" s="18">
        <f>30*80</f>
        <v>2400</v>
      </c>
      <c r="O5" s="18">
        <f>100*80</f>
        <v>8000</v>
      </c>
      <c r="P5" s="18">
        <f>450*0.8*20</f>
        <v>7200</v>
      </c>
      <c r="Q5" s="18">
        <f>450*0.8*40</f>
        <v>14400</v>
      </c>
      <c r="R5" s="18">
        <f>1100*20</f>
        <v>22000</v>
      </c>
      <c r="T5" s="6" t="str">
        <f t="shared" ref="T5:T24" si="0">B5</f>
        <v>North Shore (-Onewa)</v>
      </c>
      <c r="U5" s="8">
        <f>K5</f>
        <v>10200.6</v>
      </c>
      <c r="V5" s="8">
        <f t="shared" ref="V5:V7" si="1">ROUNDUP($U5/(70*0.8),0)</f>
        <v>183</v>
      </c>
      <c r="W5" s="8">
        <f>ROUNDUP($U5/80,0)</f>
        <v>128</v>
      </c>
      <c r="Y5" s="18">
        <f t="shared" ref="Y5:Y24" si="2">6*80</f>
        <v>480</v>
      </c>
      <c r="Z5" s="18">
        <f t="shared" ref="Z5:Z24" si="3">20*80</f>
        <v>1600</v>
      </c>
      <c r="AA5" s="18">
        <f t="shared" ref="AA5:AA24" si="4">450*0.8*6</f>
        <v>2160</v>
      </c>
      <c r="AB5" s="18">
        <f t="shared" ref="AB5:AB24" si="5">450*0.8*12</f>
        <v>4320</v>
      </c>
      <c r="AC5" s="18">
        <f t="shared" ref="AC5:AC24" si="6">1100*6</f>
        <v>6600</v>
      </c>
    </row>
    <row r="6" spans="1:29" ht="12.75" customHeight="1" x14ac:dyDescent="0.3">
      <c r="A6" s="73"/>
      <c r="B6" s="4" t="s">
        <v>23</v>
      </c>
      <c r="C6" s="4" t="s">
        <v>24</v>
      </c>
      <c r="D6" s="7" t="s">
        <v>25</v>
      </c>
      <c r="E6" s="18">
        <v>9622</v>
      </c>
      <c r="F6" s="18">
        <v>1510</v>
      </c>
      <c r="H6" s="18">
        <v>4283</v>
      </c>
      <c r="K6" s="8">
        <f t="shared" ref="K6:K19" si="7">0.6*E6</f>
        <v>5773.2</v>
      </c>
      <c r="L6" s="8">
        <f>0.6*F6</f>
        <v>906</v>
      </c>
      <c r="N6" s="18">
        <f t="shared" ref="N6:N23" si="8">30*80</f>
        <v>2400</v>
      </c>
      <c r="O6" s="18">
        <f t="shared" ref="O6:O23" si="9">100*80</f>
        <v>8000</v>
      </c>
      <c r="P6" s="18">
        <f t="shared" ref="P6:P23" si="10">450*0.8*20</f>
        <v>7200</v>
      </c>
      <c r="Q6" s="18">
        <f t="shared" ref="Q6:Q23" si="11">450*0.8*40</f>
        <v>14400</v>
      </c>
      <c r="R6" s="18">
        <f t="shared" ref="R6:R23" si="12">1100*20</f>
        <v>22000</v>
      </c>
      <c r="T6" s="6" t="str">
        <f t="shared" si="0"/>
        <v>Isthmus</v>
      </c>
      <c r="U6" s="8">
        <f>K6</f>
        <v>5773.2</v>
      </c>
      <c r="V6" s="8">
        <f t="shared" si="1"/>
        <v>104</v>
      </c>
      <c r="W6" s="8">
        <f>ROUNDUP($U6/80,0)</f>
        <v>73</v>
      </c>
      <c r="Y6" s="18">
        <f t="shared" si="2"/>
        <v>480</v>
      </c>
      <c r="Z6" s="18">
        <f t="shared" si="3"/>
        <v>1600</v>
      </c>
      <c r="AA6" s="18">
        <f t="shared" si="4"/>
        <v>2160</v>
      </c>
      <c r="AB6" s="18">
        <f t="shared" si="5"/>
        <v>4320</v>
      </c>
      <c r="AC6" s="18">
        <f t="shared" si="6"/>
        <v>6600</v>
      </c>
    </row>
    <row r="7" spans="1:29" ht="12.75" customHeight="1" x14ac:dyDescent="0.3">
      <c r="A7" s="74"/>
      <c r="B7" s="4" t="s">
        <v>26</v>
      </c>
      <c r="C7" s="4" t="s">
        <v>24</v>
      </c>
      <c r="D7" s="7" t="s">
        <v>27</v>
      </c>
      <c r="E7" s="18">
        <v>11458</v>
      </c>
      <c r="F7" s="18">
        <v>13910</v>
      </c>
      <c r="H7" s="18">
        <v>3877</v>
      </c>
      <c r="K7" s="8">
        <f t="shared" si="7"/>
        <v>6874.8</v>
      </c>
      <c r="L7" s="8">
        <f t="shared" ref="L7:L18" si="13">0.6*F7</f>
        <v>8346</v>
      </c>
      <c r="N7" s="18">
        <f t="shared" si="8"/>
        <v>2400</v>
      </c>
      <c r="O7" s="18">
        <f t="shared" si="9"/>
        <v>8000</v>
      </c>
      <c r="P7" s="18">
        <f t="shared" si="10"/>
        <v>7200</v>
      </c>
      <c r="Q7" s="18">
        <f t="shared" si="11"/>
        <v>14400</v>
      </c>
      <c r="R7" s="18">
        <f t="shared" si="12"/>
        <v>22000</v>
      </c>
      <c r="T7" s="6" t="str">
        <f t="shared" si="0"/>
        <v>Northwest</v>
      </c>
      <c r="U7" s="8">
        <f>K7</f>
        <v>6874.8</v>
      </c>
      <c r="V7" s="8">
        <f t="shared" si="1"/>
        <v>123</v>
      </c>
      <c r="W7" s="8">
        <f>ROUNDUP($U7/80,0)</f>
        <v>86</v>
      </c>
      <c r="Y7" s="18">
        <f t="shared" si="2"/>
        <v>480</v>
      </c>
      <c r="Z7" s="18">
        <f t="shared" si="3"/>
        <v>1600</v>
      </c>
      <c r="AA7" s="18">
        <f t="shared" si="4"/>
        <v>2160</v>
      </c>
      <c r="AB7" s="18">
        <f t="shared" si="5"/>
        <v>4320</v>
      </c>
      <c r="AC7" s="18">
        <f t="shared" si="6"/>
        <v>6600</v>
      </c>
    </row>
    <row r="8" spans="1:29" x14ac:dyDescent="0.3">
      <c r="B8" s="14"/>
      <c r="C8" s="14"/>
      <c r="D8" s="15"/>
      <c r="E8" s="16"/>
      <c r="F8" s="16"/>
      <c r="G8" s="16"/>
      <c r="H8" s="16"/>
      <c r="I8" s="16"/>
      <c r="J8" s="17"/>
      <c r="K8" s="17"/>
      <c r="L8" s="17"/>
      <c r="M8" s="17"/>
      <c r="N8" s="18">
        <f t="shared" si="8"/>
        <v>2400</v>
      </c>
      <c r="O8" s="18">
        <f t="shared" si="9"/>
        <v>8000</v>
      </c>
      <c r="P8" s="18">
        <f t="shared" si="10"/>
        <v>7200</v>
      </c>
      <c r="Q8" s="18">
        <f t="shared" si="11"/>
        <v>14400</v>
      </c>
      <c r="R8" s="18">
        <f t="shared" si="12"/>
        <v>22000</v>
      </c>
      <c r="T8" s="6"/>
      <c r="Y8" s="18">
        <f t="shared" si="2"/>
        <v>480</v>
      </c>
      <c r="Z8" s="18">
        <f t="shared" si="3"/>
        <v>1600</v>
      </c>
      <c r="AA8" s="18">
        <f t="shared" si="4"/>
        <v>2160</v>
      </c>
      <c r="AB8" s="18">
        <f t="shared" si="5"/>
        <v>4320</v>
      </c>
      <c r="AC8" s="18">
        <f t="shared" si="6"/>
        <v>6600</v>
      </c>
    </row>
    <row r="9" spans="1:29" ht="12.75" customHeight="1" x14ac:dyDescent="0.3">
      <c r="A9" s="72" t="s">
        <v>28</v>
      </c>
      <c r="B9" s="4" t="s">
        <v>29</v>
      </c>
      <c r="C9" s="4" t="s">
        <v>30</v>
      </c>
      <c r="D9" s="7" t="s">
        <v>31</v>
      </c>
      <c r="E9" s="18">
        <f>6328+1381</f>
        <v>7709</v>
      </c>
      <c r="F9" s="18" t="s">
        <v>32</v>
      </c>
      <c r="H9" s="18">
        <f>8762+2336</f>
        <v>11098</v>
      </c>
      <c r="K9" s="8">
        <f>0.6*E9</f>
        <v>4625.3999999999996</v>
      </c>
      <c r="L9" s="8" t="s">
        <v>32</v>
      </c>
      <c r="N9" s="18">
        <f t="shared" si="8"/>
        <v>2400</v>
      </c>
      <c r="O9" s="18">
        <f t="shared" si="9"/>
        <v>8000</v>
      </c>
      <c r="P9" s="18">
        <f t="shared" si="10"/>
        <v>7200</v>
      </c>
      <c r="Q9" s="18">
        <f t="shared" si="11"/>
        <v>14400</v>
      </c>
      <c r="R9" s="18">
        <f t="shared" si="12"/>
        <v>22000</v>
      </c>
      <c r="T9" s="6" t="str">
        <f t="shared" si="0"/>
        <v>STH</v>
      </c>
      <c r="U9" s="8">
        <f>K9</f>
        <v>4625.3999999999996</v>
      </c>
      <c r="V9" s="8">
        <f>ROUNDUP($U9/(70*0.8),0)</f>
        <v>83</v>
      </c>
      <c r="W9" s="8">
        <f>ROUNDUP($U9/80,0)</f>
        <v>58</v>
      </c>
      <c r="Y9" s="18">
        <f t="shared" si="2"/>
        <v>480</v>
      </c>
      <c r="Z9" s="18">
        <f t="shared" si="3"/>
        <v>1600</v>
      </c>
      <c r="AA9" s="18">
        <f t="shared" si="4"/>
        <v>2160</v>
      </c>
      <c r="AB9" s="18">
        <f t="shared" si="5"/>
        <v>4320</v>
      </c>
      <c r="AC9" s="18">
        <f t="shared" si="6"/>
        <v>6600</v>
      </c>
    </row>
    <row r="10" spans="1:29" ht="12.75" customHeight="1" x14ac:dyDescent="0.3">
      <c r="A10" s="73"/>
      <c r="B10" s="4" t="s">
        <v>33</v>
      </c>
      <c r="C10" s="4" t="s">
        <v>21</v>
      </c>
      <c r="D10" s="7" t="s">
        <v>22</v>
      </c>
      <c r="E10" s="18">
        <v>19652</v>
      </c>
      <c r="F10" s="18" t="s">
        <v>32</v>
      </c>
      <c r="H10" s="18">
        <f>8762+808</f>
        <v>9570</v>
      </c>
      <c r="K10" s="8">
        <f>0.6*E10</f>
        <v>11791.199999999999</v>
      </c>
      <c r="L10" s="8" t="s">
        <v>32</v>
      </c>
      <c r="N10" s="18">
        <f t="shared" si="8"/>
        <v>2400</v>
      </c>
      <c r="O10" s="18">
        <f t="shared" si="9"/>
        <v>8000</v>
      </c>
      <c r="P10" s="18">
        <f t="shared" si="10"/>
        <v>7200</v>
      </c>
      <c r="Q10" s="18">
        <f t="shared" si="11"/>
        <v>14400</v>
      </c>
      <c r="R10" s="18">
        <f t="shared" si="12"/>
        <v>22000</v>
      </c>
      <c r="T10" s="6" t="str">
        <f t="shared" si="0"/>
        <v>EAST</v>
      </c>
      <c r="U10" s="8">
        <f>K10</f>
        <v>11791.199999999999</v>
      </c>
      <c r="V10" s="8">
        <f t="shared" ref="V10:V11" si="14">ROUNDUP($U10/(70*0.8),0)</f>
        <v>211</v>
      </c>
      <c r="W10" s="8">
        <f>ROUNDUP($U10/80,0)</f>
        <v>148</v>
      </c>
      <c r="Y10" s="18">
        <f t="shared" si="2"/>
        <v>480</v>
      </c>
      <c r="Z10" s="18">
        <f t="shared" si="3"/>
        <v>1600</v>
      </c>
      <c r="AA10" s="18">
        <f t="shared" si="4"/>
        <v>2160</v>
      </c>
      <c r="AB10" s="18">
        <f t="shared" si="5"/>
        <v>4320</v>
      </c>
      <c r="AC10" s="18">
        <f t="shared" si="6"/>
        <v>6600</v>
      </c>
    </row>
    <row r="11" spans="1:29" ht="12.75" customHeight="1" x14ac:dyDescent="0.3">
      <c r="A11" s="73"/>
      <c r="B11" s="4" t="s">
        <v>34</v>
      </c>
      <c r="C11" s="4" t="s">
        <v>24</v>
      </c>
      <c r="D11" s="7" t="s">
        <v>25</v>
      </c>
      <c r="E11" s="18">
        <v>10806</v>
      </c>
      <c r="F11" s="18" t="s">
        <v>32</v>
      </c>
      <c r="H11" s="18">
        <v>4283</v>
      </c>
      <c r="K11" s="8">
        <f t="shared" ref="K11" si="15">0.6*E11</f>
        <v>6483.5999999999995</v>
      </c>
      <c r="L11" s="8" t="s">
        <v>32</v>
      </c>
      <c r="N11" s="18">
        <f t="shared" si="8"/>
        <v>2400</v>
      </c>
      <c r="O11" s="18">
        <f t="shared" si="9"/>
        <v>8000</v>
      </c>
      <c r="P11" s="18">
        <f t="shared" si="10"/>
        <v>7200</v>
      </c>
      <c r="Q11" s="18">
        <f t="shared" si="11"/>
        <v>14400</v>
      </c>
      <c r="R11" s="18">
        <f t="shared" si="12"/>
        <v>22000</v>
      </c>
      <c r="T11" s="6" t="str">
        <f t="shared" si="0"/>
        <v>WEST</v>
      </c>
      <c r="U11" s="8">
        <f>K11</f>
        <v>6483.5999999999995</v>
      </c>
      <c r="V11" s="8">
        <f t="shared" si="14"/>
        <v>116</v>
      </c>
      <c r="W11" s="8">
        <f>ROUNDUP($U11/80,0)</f>
        <v>82</v>
      </c>
      <c r="Y11" s="18">
        <f t="shared" si="2"/>
        <v>480</v>
      </c>
      <c r="Z11" s="18">
        <f t="shared" si="3"/>
        <v>1600</v>
      </c>
      <c r="AA11" s="18">
        <f t="shared" si="4"/>
        <v>2160</v>
      </c>
      <c r="AB11" s="18">
        <f t="shared" si="5"/>
        <v>4320</v>
      </c>
      <c r="AC11" s="18">
        <f t="shared" si="6"/>
        <v>6600</v>
      </c>
    </row>
    <row r="12" spans="1:29" x14ac:dyDescent="0.3">
      <c r="A12" s="74"/>
      <c r="B12" s="4" t="s">
        <v>35</v>
      </c>
      <c r="C12" s="5"/>
      <c r="D12" s="20"/>
      <c r="E12" s="18">
        <v>425</v>
      </c>
      <c r="F12" s="18" t="s">
        <v>32</v>
      </c>
      <c r="H12" s="18">
        <v>316</v>
      </c>
      <c r="K12" s="8">
        <f>0.6*E12</f>
        <v>255</v>
      </c>
      <c r="L12" s="8" t="s">
        <v>32</v>
      </c>
      <c r="N12" s="18">
        <f t="shared" si="8"/>
        <v>2400</v>
      </c>
      <c r="O12" s="18">
        <f t="shared" si="9"/>
        <v>8000</v>
      </c>
      <c r="P12" s="18">
        <f t="shared" si="10"/>
        <v>7200</v>
      </c>
      <c r="Q12" s="18">
        <f t="shared" si="11"/>
        <v>14400</v>
      </c>
      <c r="R12" s="18">
        <f t="shared" si="12"/>
        <v>22000</v>
      </c>
      <c r="T12" s="6" t="str">
        <f t="shared" si="0"/>
        <v>Onehunga Spur</v>
      </c>
      <c r="U12" s="8">
        <f>K12</f>
        <v>255</v>
      </c>
      <c r="V12" s="8">
        <f>ROUNDUP($U12/(70*0.8),0)</f>
        <v>5</v>
      </c>
      <c r="W12" s="8">
        <f>ROUNDUP($U12/80,0)</f>
        <v>4</v>
      </c>
      <c r="Y12" s="18">
        <f t="shared" si="2"/>
        <v>480</v>
      </c>
      <c r="Z12" s="18">
        <f t="shared" si="3"/>
        <v>1600</v>
      </c>
      <c r="AA12" s="18">
        <f t="shared" si="4"/>
        <v>2160</v>
      </c>
      <c r="AB12" s="18">
        <f t="shared" si="5"/>
        <v>4320</v>
      </c>
      <c r="AC12" s="18">
        <f t="shared" si="6"/>
        <v>6600</v>
      </c>
    </row>
    <row r="13" spans="1:29" x14ac:dyDescent="0.3">
      <c r="B13" s="14"/>
      <c r="C13" s="14"/>
      <c r="D13" s="15"/>
      <c r="E13" s="16"/>
      <c r="F13" s="16"/>
      <c r="G13" s="16"/>
      <c r="H13" s="16"/>
      <c r="I13" s="16"/>
      <c r="J13" s="17"/>
      <c r="K13" s="17"/>
      <c r="L13" s="17"/>
      <c r="M13" s="17"/>
      <c r="N13" s="18">
        <f t="shared" si="8"/>
        <v>2400</v>
      </c>
      <c r="O13" s="18">
        <f t="shared" si="9"/>
        <v>8000</v>
      </c>
      <c r="P13" s="18">
        <f t="shared" si="10"/>
        <v>7200</v>
      </c>
      <c r="Q13" s="18">
        <f t="shared" si="11"/>
        <v>14400</v>
      </c>
      <c r="R13" s="18">
        <f t="shared" si="12"/>
        <v>22000</v>
      </c>
      <c r="T13" s="6"/>
      <c r="Y13" s="18">
        <f t="shared" si="2"/>
        <v>480</v>
      </c>
      <c r="Z13" s="18">
        <f t="shared" si="3"/>
        <v>1600</v>
      </c>
      <c r="AA13" s="18">
        <f t="shared" si="4"/>
        <v>2160</v>
      </c>
      <c r="AB13" s="18">
        <f t="shared" si="5"/>
        <v>4320</v>
      </c>
      <c r="AC13" s="18">
        <f t="shared" si="6"/>
        <v>6600</v>
      </c>
    </row>
    <row r="14" spans="1:29" x14ac:dyDescent="0.3">
      <c r="A14" s="72" t="s">
        <v>36</v>
      </c>
      <c r="B14" s="4" t="s">
        <v>37</v>
      </c>
      <c r="D14" s="7" t="s">
        <v>38</v>
      </c>
      <c r="E14" s="18">
        <v>1592</v>
      </c>
      <c r="F14" s="18" t="s">
        <v>32</v>
      </c>
      <c r="H14" s="18">
        <v>856</v>
      </c>
      <c r="I14" s="18" t="s">
        <v>39</v>
      </c>
      <c r="K14" s="8">
        <f t="shared" si="7"/>
        <v>955.19999999999993</v>
      </c>
      <c r="L14" s="8" t="s">
        <v>32</v>
      </c>
      <c r="N14" s="18">
        <f t="shared" si="8"/>
        <v>2400</v>
      </c>
      <c r="O14" s="18">
        <f t="shared" si="9"/>
        <v>8000</v>
      </c>
      <c r="P14" s="18">
        <f t="shared" si="10"/>
        <v>7200</v>
      </c>
      <c r="Q14" s="18">
        <f t="shared" si="11"/>
        <v>14400</v>
      </c>
      <c r="R14" s="18">
        <f t="shared" si="12"/>
        <v>22000</v>
      </c>
      <c r="T14" s="6" t="str">
        <f t="shared" si="0"/>
        <v>Crosstown</v>
      </c>
      <c r="U14" s="8">
        <f t="shared" ref="U14:U22" si="16">K14</f>
        <v>955.19999999999993</v>
      </c>
      <c r="V14" s="8">
        <f t="shared" ref="V14:V22" si="17">ROUNDUP($U14/(70*0.8),0)</f>
        <v>18</v>
      </c>
      <c r="W14" s="8">
        <f t="shared" ref="W14:W22" si="18">ROUNDUP($U14/80,0)</f>
        <v>12</v>
      </c>
      <c r="Y14" s="18">
        <f t="shared" si="2"/>
        <v>480</v>
      </c>
      <c r="Z14" s="18">
        <f t="shared" si="3"/>
        <v>1600</v>
      </c>
      <c r="AA14" s="18">
        <f t="shared" si="4"/>
        <v>2160</v>
      </c>
      <c r="AB14" s="18">
        <f t="shared" si="5"/>
        <v>4320</v>
      </c>
      <c r="AC14" s="18">
        <f t="shared" si="6"/>
        <v>6600</v>
      </c>
    </row>
    <row r="15" spans="1:29" x14ac:dyDescent="0.3">
      <c r="A15" s="73"/>
      <c r="B15" s="4" t="s">
        <v>40</v>
      </c>
      <c r="C15" s="4" t="s">
        <v>30</v>
      </c>
      <c r="D15" s="7" t="s">
        <v>41</v>
      </c>
      <c r="E15" s="18">
        <v>1803</v>
      </c>
      <c r="F15" s="18">
        <v>8756</v>
      </c>
      <c r="K15" s="8">
        <f t="shared" si="7"/>
        <v>1081.8</v>
      </c>
      <c r="L15" s="8">
        <f t="shared" si="13"/>
        <v>5253.5999999999995</v>
      </c>
      <c r="N15" s="18">
        <f t="shared" si="8"/>
        <v>2400</v>
      </c>
      <c r="O15" s="18">
        <f t="shared" si="9"/>
        <v>8000</v>
      </c>
      <c r="P15" s="18">
        <f t="shared" si="10"/>
        <v>7200</v>
      </c>
      <c r="Q15" s="18">
        <f t="shared" si="11"/>
        <v>14400</v>
      </c>
      <c r="R15" s="18">
        <f t="shared" si="12"/>
        <v>22000</v>
      </c>
      <c r="T15" s="6" t="str">
        <f t="shared" si="0"/>
        <v>UH: Constellation</v>
      </c>
      <c r="U15" s="8">
        <f t="shared" si="16"/>
        <v>1081.8</v>
      </c>
      <c r="V15" s="8">
        <f t="shared" si="17"/>
        <v>20</v>
      </c>
      <c r="W15" s="8">
        <f t="shared" si="18"/>
        <v>14</v>
      </c>
      <c r="Y15" s="18">
        <f t="shared" si="2"/>
        <v>480</v>
      </c>
      <c r="Z15" s="18">
        <f t="shared" si="3"/>
        <v>1600</v>
      </c>
      <c r="AA15" s="18">
        <f t="shared" si="4"/>
        <v>2160</v>
      </c>
      <c r="AB15" s="18">
        <f t="shared" si="5"/>
        <v>4320</v>
      </c>
      <c r="AC15" s="18">
        <f t="shared" si="6"/>
        <v>6600</v>
      </c>
    </row>
    <row r="16" spans="1:29" x14ac:dyDescent="0.3">
      <c r="A16" s="73"/>
      <c r="B16" s="4" t="s">
        <v>42</v>
      </c>
      <c r="C16" s="4" t="s">
        <v>43</v>
      </c>
      <c r="D16" s="7" t="s">
        <v>44</v>
      </c>
      <c r="E16" s="18">
        <v>1302</v>
      </c>
      <c r="F16" s="18">
        <v>1683</v>
      </c>
      <c r="H16" s="18">
        <v>871</v>
      </c>
      <c r="K16" s="8">
        <f t="shared" si="7"/>
        <v>781.19999999999993</v>
      </c>
      <c r="L16" s="8">
        <f t="shared" si="13"/>
        <v>1009.8</v>
      </c>
      <c r="N16" s="18">
        <f t="shared" si="8"/>
        <v>2400</v>
      </c>
      <c r="O16" s="18">
        <f t="shared" si="9"/>
        <v>8000</v>
      </c>
      <c r="P16" s="18">
        <f t="shared" si="10"/>
        <v>7200</v>
      </c>
      <c r="Q16" s="18">
        <f t="shared" si="11"/>
        <v>14400</v>
      </c>
      <c r="R16" s="18">
        <f t="shared" si="12"/>
        <v>22000</v>
      </c>
      <c r="T16" s="6" t="str">
        <f t="shared" si="0"/>
        <v>UH: Henderson</v>
      </c>
      <c r="U16" s="8">
        <f t="shared" si="16"/>
        <v>781.19999999999993</v>
      </c>
      <c r="V16" s="8">
        <f t="shared" si="17"/>
        <v>14</v>
      </c>
      <c r="W16" s="8">
        <f t="shared" si="18"/>
        <v>10</v>
      </c>
      <c r="Y16" s="18">
        <f t="shared" si="2"/>
        <v>480</v>
      </c>
      <c r="Z16" s="18">
        <f t="shared" si="3"/>
        <v>1600</v>
      </c>
      <c r="AA16" s="18">
        <f t="shared" si="4"/>
        <v>2160</v>
      </c>
      <c r="AB16" s="18">
        <f t="shared" si="5"/>
        <v>4320</v>
      </c>
      <c r="AC16" s="18">
        <f t="shared" si="6"/>
        <v>6600</v>
      </c>
    </row>
    <row r="17" spans="1:29" x14ac:dyDescent="0.3">
      <c r="A17" s="73"/>
      <c r="B17" s="4" t="s">
        <v>45</v>
      </c>
      <c r="E17" s="18">
        <v>1511</v>
      </c>
      <c r="F17" s="18">
        <v>3321</v>
      </c>
      <c r="K17" s="8">
        <f t="shared" si="7"/>
        <v>906.6</v>
      </c>
      <c r="L17" s="8">
        <f t="shared" si="13"/>
        <v>1992.6</v>
      </c>
      <c r="N17" s="18">
        <f t="shared" si="8"/>
        <v>2400</v>
      </c>
      <c r="O17" s="18">
        <f t="shared" si="9"/>
        <v>8000</v>
      </c>
      <c r="P17" s="18">
        <f t="shared" si="10"/>
        <v>7200</v>
      </c>
      <c r="Q17" s="18">
        <f t="shared" si="11"/>
        <v>14400</v>
      </c>
      <c r="R17" s="18">
        <f t="shared" si="12"/>
        <v>22000</v>
      </c>
      <c r="T17" s="6" t="str">
        <f t="shared" si="0"/>
        <v>A2B: SH20B</v>
      </c>
      <c r="U17" s="8">
        <f t="shared" si="16"/>
        <v>906.6</v>
      </c>
      <c r="V17" s="8">
        <f t="shared" si="17"/>
        <v>17</v>
      </c>
      <c r="W17" s="8">
        <f t="shared" si="18"/>
        <v>12</v>
      </c>
      <c r="Y17" s="18">
        <f t="shared" si="2"/>
        <v>480</v>
      </c>
      <c r="Z17" s="18">
        <f t="shared" si="3"/>
        <v>1600</v>
      </c>
      <c r="AA17" s="18">
        <f t="shared" si="4"/>
        <v>2160</v>
      </c>
      <c r="AB17" s="18">
        <f t="shared" si="5"/>
        <v>4320</v>
      </c>
      <c r="AC17" s="18">
        <f t="shared" si="6"/>
        <v>6600</v>
      </c>
    </row>
    <row r="18" spans="1:29" x14ac:dyDescent="0.3">
      <c r="A18" s="73"/>
      <c r="B18" s="4" t="s">
        <v>46</v>
      </c>
      <c r="E18" s="18">
        <v>1836</v>
      </c>
      <c r="F18" s="18">
        <v>3190</v>
      </c>
      <c r="K18" s="8">
        <f t="shared" si="7"/>
        <v>1101.5999999999999</v>
      </c>
      <c r="L18" s="8">
        <f t="shared" si="13"/>
        <v>1914</v>
      </c>
      <c r="N18" s="18">
        <f t="shared" si="8"/>
        <v>2400</v>
      </c>
      <c r="O18" s="18">
        <f t="shared" si="9"/>
        <v>8000</v>
      </c>
      <c r="P18" s="18">
        <f t="shared" si="10"/>
        <v>7200</v>
      </c>
      <c r="Q18" s="18">
        <f t="shared" si="11"/>
        <v>14400</v>
      </c>
      <c r="R18" s="18">
        <f t="shared" si="12"/>
        <v>22000</v>
      </c>
      <c r="T18" s="6" t="str">
        <f t="shared" si="0"/>
        <v>A2B: Te Irirangi</v>
      </c>
      <c r="U18" s="8">
        <f t="shared" si="16"/>
        <v>1101.5999999999999</v>
      </c>
      <c r="V18" s="8">
        <f t="shared" si="17"/>
        <v>20</v>
      </c>
      <c r="W18" s="8">
        <f t="shared" si="18"/>
        <v>14</v>
      </c>
      <c r="Y18" s="18">
        <f t="shared" si="2"/>
        <v>480</v>
      </c>
      <c r="Z18" s="18">
        <f t="shared" si="3"/>
        <v>1600</v>
      </c>
      <c r="AA18" s="18">
        <f t="shared" si="4"/>
        <v>2160</v>
      </c>
      <c r="AB18" s="18">
        <f t="shared" si="5"/>
        <v>4320</v>
      </c>
      <c r="AC18" s="18">
        <f t="shared" si="6"/>
        <v>6600</v>
      </c>
    </row>
    <row r="19" spans="1:29" x14ac:dyDescent="0.3">
      <c r="A19" s="73"/>
      <c r="B19" s="4" t="s">
        <v>47</v>
      </c>
      <c r="E19" s="18">
        <v>3086</v>
      </c>
      <c r="F19" s="18">
        <v>2075</v>
      </c>
      <c r="H19" s="18">
        <v>1038</v>
      </c>
      <c r="K19" s="8">
        <f t="shared" si="7"/>
        <v>1851.6</v>
      </c>
      <c r="L19" s="8">
        <f>0.6*F19</f>
        <v>1245</v>
      </c>
      <c r="N19" s="18">
        <f t="shared" si="8"/>
        <v>2400</v>
      </c>
      <c r="O19" s="18">
        <f t="shared" si="9"/>
        <v>8000</v>
      </c>
      <c r="P19" s="18">
        <f t="shared" si="10"/>
        <v>7200</v>
      </c>
      <c r="Q19" s="18">
        <f t="shared" si="11"/>
        <v>14400</v>
      </c>
      <c r="R19" s="18">
        <f t="shared" si="12"/>
        <v>22000</v>
      </c>
      <c r="T19" s="6" t="str">
        <f t="shared" si="0"/>
        <v>AMETI: Botany</v>
      </c>
      <c r="U19" s="8">
        <f t="shared" si="16"/>
        <v>1851.6</v>
      </c>
      <c r="V19" s="8">
        <f t="shared" si="17"/>
        <v>34</v>
      </c>
      <c r="W19" s="8">
        <f t="shared" si="18"/>
        <v>24</v>
      </c>
      <c r="Y19" s="18">
        <f t="shared" si="2"/>
        <v>480</v>
      </c>
      <c r="Z19" s="18">
        <f t="shared" si="3"/>
        <v>1600</v>
      </c>
      <c r="AA19" s="18">
        <f t="shared" si="4"/>
        <v>2160</v>
      </c>
      <c r="AB19" s="18">
        <f t="shared" si="5"/>
        <v>4320</v>
      </c>
      <c r="AC19" s="18">
        <f t="shared" si="6"/>
        <v>6600</v>
      </c>
    </row>
    <row r="20" spans="1:29" x14ac:dyDescent="0.3">
      <c r="A20" s="73"/>
      <c r="B20" s="4" t="s">
        <v>48</v>
      </c>
      <c r="E20" s="18">
        <v>1210</v>
      </c>
      <c r="F20" s="18">
        <v>5364</v>
      </c>
      <c r="H20" s="18">
        <v>712</v>
      </c>
      <c r="K20" s="8">
        <f t="shared" ref="K20:K22" si="19">0.6*E20</f>
        <v>726</v>
      </c>
      <c r="L20" s="8">
        <f>0.6*F20</f>
        <v>3218.4</v>
      </c>
      <c r="N20" s="18">
        <f t="shared" si="8"/>
        <v>2400</v>
      </c>
      <c r="O20" s="18">
        <f t="shared" si="9"/>
        <v>8000</v>
      </c>
      <c r="P20" s="18">
        <f t="shared" si="10"/>
        <v>7200</v>
      </c>
      <c r="Q20" s="18">
        <f t="shared" si="11"/>
        <v>14400</v>
      </c>
      <c r="R20" s="18">
        <f t="shared" si="12"/>
        <v>22000</v>
      </c>
      <c r="T20" s="6" t="str">
        <f t="shared" si="0"/>
        <v>AMETI: Howick</v>
      </c>
      <c r="U20" s="8">
        <f t="shared" si="16"/>
        <v>726</v>
      </c>
      <c r="V20" s="8">
        <f t="shared" si="17"/>
        <v>13</v>
      </c>
      <c r="W20" s="8">
        <f t="shared" si="18"/>
        <v>10</v>
      </c>
      <c r="Y20" s="18">
        <f t="shared" si="2"/>
        <v>480</v>
      </c>
      <c r="Z20" s="18">
        <f t="shared" si="3"/>
        <v>1600</v>
      </c>
      <c r="AA20" s="18">
        <f t="shared" si="4"/>
        <v>2160</v>
      </c>
      <c r="AB20" s="18">
        <f t="shared" si="5"/>
        <v>4320</v>
      </c>
      <c r="AC20" s="18">
        <f t="shared" si="6"/>
        <v>6600</v>
      </c>
    </row>
    <row r="21" spans="1:29" x14ac:dyDescent="0.3">
      <c r="A21" s="73"/>
      <c r="B21" s="4" t="s">
        <v>49</v>
      </c>
      <c r="E21" s="18">
        <v>4449</v>
      </c>
      <c r="F21" s="10">
        <f>SUM(F19:F20)</f>
        <v>7439</v>
      </c>
      <c r="G21" s="10"/>
      <c r="H21" s="18">
        <v>2057</v>
      </c>
      <c r="I21" s="10"/>
      <c r="K21" s="8">
        <f t="shared" si="19"/>
        <v>2669.4</v>
      </c>
      <c r="L21" s="8">
        <f>0.6*F21</f>
        <v>4463.3999999999996</v>
      </c>
      <c r="N21" s="18">
        <f t="shared" si="8"/>
        <v>2400</v>
      </c>
      <c r="O21" s="18">
        <f t="shared" si="9"/>
        <v>8000</v>
      </c>
      <c r="P21" s="18">
        <f t="shared" si="10"/>
        <v>7200</v>
      </c>
      <c r="Q21" s="18">
        <f t="shared" si="11"/>
        <v>14400</v>
      </c>
      <c r="R21" s="18">
        <f t="shared" si="12"/>
        <v>22000</v>
      </c>
      <c r="T21" s="6" t="str">
        <f t="shared" si="0"/>
        <v>AMETI: Total</v>
      </c>
      <c r="U21" s="8">
        <f t="shared" si="16"/>
        <v>2669.4</v>
      </c>
      <c r="V21" s="8">
        <f t="shared" si="17"/>
        <v>48</v>
      </c>
      <c r="W21" s="8">
        <f t="shared" si="18"/>
        <v>34</v>
      </c>
      <c r="Y21" s="18">
        <f t="shared" si="2"/>
        <v>480</v>
      </c>
      <c r="Z21" s="18">
        <f t="shared" si="3"/>
        <v>1600</v>
      </c>
      <c r="AA21" s="18">
        <f t="shared" si="4"/>
        <v>2160</v>
      </c>
      <c r="AB21" s="18">
        <f t="shared" si="5"/>
        <v>4320</v>
      </c>
      <c r="AC21" s="18">
        <f t="shared" si="6"/>
        <v>6600</v>
      </c>
    </row>
    <row r="22" spans="1:29" x14ac:dyDescent="0.3">
      <c r="A22" s="74"/>
      <c r="B22" s="4" t="s">
        <v>50</v>
      </c>
      <c r="D22" s="7" t="s">
        <v>51</v>
      </c>
      <c r="E22" s="18">
        <f>2412</f>
        <v>2412</v>
      </c>
      <c r="F22" s="19">
        <v>2529</v>
      </c>
      <c r="G22" s="19"/>
      <c r="H22" s="18">
        <v>767</v>
      </c>
      <c r="I22" s="19"/>
      <c r="K22" s="8">
        <f t="shared" si="19"/>
        <v>1447.2</v>
      </c>
      <c r="L22" s="8">
        <f t="shared" ref="L22" si="20">0.6*F22</f>
        <v>1517.3999999999999</v>
      </c>
      <c r="N22" s="18">
        <f t="shared" si="8"/>
        <v>2400</v>
      </c>
      <c r="O22" s="18">
        <f t="shared" si="9"/>
        <v>8000</v>
      </c>
      <c r="P22" s="18">
        <f t="shared" si="10"/>
        <v>7200</v>
      </c>
      <c r="Q22" s="18">
        <f t="shared" si="11"/>
        <v>14400</v>
      </c>
      <c r="R22" s="18">
        <f t="shared" si="12"/>
        <v>22000</v>
      </c>
      <c r="T22" s="6" t="str">
        <f t="shared" si="0"/>
        <v>AMETI: Ellerslie</v>
      </c>
      <c r="U22" s="8">
        <f t="shared" si="16"/>
        <v>1447.2</v>
      </c>
      <c r="V22" s="8">
        <f t="shared" si="17"/>
        <v>26</v>
      </c>
      <c r="W22" s="8">
        <f t="shared" si="18"/>
        <v>19</v>
      </c>
      <c r="Y22" s="18">
        <f t="shared" si="2"/>
        <v>480</v>
      </c>
      <c r="Z22" s="18">
        <f t="shared" si="3"/>
        <v>1600</v>
      </c>
      <c r="AA22" s="18">
        <f t="shared" si="4"/>
        <v>2160</v>
      </c>
      <c r="AB22" s="18">
        <f t="shared" si="5"/>
        <v>4320</v>
      </c>
      <c r="AC22" s="18">
        <f t="shared" si="6"/>
        <v>6600</v>
      </c>
    </row>
    <row r="23" spans="1:29" x14ac:dyDescent="0.3">
      <c r="N23" s="18">
        <f t="shared" si="8"/>
        <v>2400</v>
      </c>
      <c r="O23" s="18">
        <f t="shared" si="9"/>
        <v>8000</v>
      </c>
      <c r="P23" s="18">
        <f t="shared" si="10"/>
        <v>7200</v>
      </c>
      <c r="Q23" s="18">
        <f t="shared" si="11"/>
        <v>14400</v>
      </c>
      <c r="R23" s="18">
        <f t="shared" si="12"/>
        <v>22000</v>
      </c>
      <c r="T23" s="6"/>
      <c r="Y23" s="18">
        <f t="shared" si="2"/>
        <v>480</v>
      </c>
      <c r="Z23" s="18">
        <f t="shared" si="3"/>
        <v>1600</v>
      </c>
      <c r="AA23" s="18">
        <f t="shared" si="4"/>
        <v>2160</v>
      </c>
      <c r="AB23" s="18">
        <f t="shared" si="5"/>
        <v>4320</v>
      </c>
      <c r="AC23" s="18">
        <f t="shared" si="6"/>
        <v>6600</v>
      </c>
    </row>
    <row r="24" spans="1:29" ht="12.75" customHeight="1" x14ac:dyDescent="0.3">
      <c r="B24" s="4" t="s">
        <v>52</v>
      </c>
      <c r="C24" s="4" t="s">
        <v>30</v>
      </c>
      <c r="D24" s="7" t="s">
        <v>31</v>
      </c>
      <c r="E24" s="18">
        <f>11727+10340</f>
        <v>22067</v>
      </c>
      <c r="F24" s="18">
        <f>10958+10414</f>
        <v>21372</v>
      </c>
      <c r="H24" s="18">
        <f>8762+2336</f>
        <v>11098</v>
      </c>
      <c r="K24" s="8">
        <f>0.6*E24</f>
        <v>13240.199999999999</v>
      </c>
      <c r="L24" s="8">
        <f>0.6*F24</f>
        <v>12823.199999999999</v>
      </c>
      <c r="N24" s="18">
        <f>30*80</f>
        <v>2400</v>
      </c>
      <c r="O24" s="18">
        <f>100*80</f>
        <v>8000</v>
      </c>
      <c r="P24" s="18">
        <f>450*0.8*20</f>
        <v>7200</v>
      </c>
      <c r="Q24" s="18">
        <f>450*0.8*40</f>
        <v>14400</v>
      </c>
      <c r="R24" s="18">
        <f>1100*20</f>
        <v>22000</v>
      </c>
      <c r="T24" s="6" t="str">
        <f t="shared" si="0"/>
        <v>North Shore (+Onewa)</v>
      </c>
      <c r="U24" s="8">
        <f>K24</f>
        <v>13240.199999999999</v>
      </c>
      <c r="V24" s="8">
        <f>ROUNDUP($U24/(70*0.8),0)</f>
        <v>237</v>
      </c>
      <c r="W24" s="8">
        <f>ROUNDUP($U24/80,0)</f>
        <v>166</v>
      </c>
      <c r="Y24" s="18">
        <f t="shared" si="2"/>
        <v>480</v>
      </c>
      <c r="Z24" s="18">
        <f t="shared" si="3"/>
        <v>1600</v>
      </c>
      <c r="AA24" s="18">
        <f t="shared" si="4"/>
        <v>2160</v>
      </c>
      <c r="AB24" s="18">
        <f t="shared" si="5"/>
        <v>4320</v>
      </c>
      <c r="AC24" s="18">
        <f t="shared" si="6"/>
        <v>6600</v>
      </c>
    </row>
    <row r="25" spans="1:29" ht="12.75" customHeight="1" x14ac:dyDescent="0.3">
      <c r="N25" s="18"/>
      <c r="O25" s="18"/>
      <c r="P25" s="18"/>
      <c r="Q25" s="18"/>
      <c r="R25" s="18"/>
      <c r="T25" s="4"/>
    </row>
    <row r="26" spans="1:29" ht="33" customHeight="1" x14ac:dyDescent="0.3">
      <c r="B26" s="13" t="s">
        <v>53</v>
      </c>
      <c r="C26" s="1" t="s">
        <v>6</v>
      </c>
      <c r="D26" s="11" t="s">
        <v>7</v>
      </c>
      <c r="E26" s="12" t="s">
        <v>8</v>
      </c>
      <c r="F26" s="12" t="s">
        <v>9</v>
      </c>
      <c r="G26" s="10"/>
      <c r="H26" s="12" t="s">
        <v>8</v>
      </c>
      <c r="I26" s="12" t="s">
        <v>9</v>
      </c>
      <c r="J26" s="1"/>
      <c r="K26" s="13" t="s">
        <v>10</v>
      </c>
      <c r="L26" s="13" t="s">
        <v>11</v>
      </c>
      <c r="M26" s="1"/>
      <c r="N26" s="13" t="s">
        <v>12</v>
      </c>
      <c r="O26" s="13" t="s">
        <v>13</v>
      </c>
      <c r="P26" s="13" t="s">
        <v>14</v>
      </c>
      <c r="Q26" s="13" t="s">
        <v>15</v>
      </c>
      <c r="R26" s="13" t="s">
        <v>16</v>
      </c>
      <c r="T26" s="6" t="s">
        <v>54</v>
      </c>
    </row>
    <row r="27" spans="1:29" x14ac:dyDescent="0.3">
      <c r="B27" s="4" t="s">
        <v>49</v>
      </c>
      <c r="E27" s="18">
        <f>E21</f>
        <v>4449</v>
      </c>
      <c r="F27" s="18">
        <f t="shared" ref="F27:L27" si="21">F21</f>
        <v>7439</v>
      </c>
      <c r="G27" s="18">
        <f t="shared" si="21"/>
        <v>0</v>
      </c>
      <c r="H27" s="18">
        <f t="shared" si="21"/>
        <v>2057</v>
      </c>
      <c r="I27" s="18">
        <f t="shared" si="21"/>
        <v>0</v>
      </c>
      <c r="J27" s="18"/>
      <c r="K27" s="18">
        <f t="shared" si="21"/>
        <v>2669.4</v>
      </c>
      <c r="L27" s="18">
        <f t="shared" si="21"/>
        <v>4463.3999999999996</v>
      </c>
      <c r="N27" s="18">
        <f t="shared" ref="N27:N29" si="22">30*80</f>
        <v>2400</v>
      </c>
      <c r="O27" s="18">
        <f t="shared" ref="O27:O29" si="23">100*80</f>
        <v>8000</v>
      </c>
      <c r="P27" s="18">
        <f t="shared" ref="P27:P29" si="24">450*0.8*20</f>
        <v>7200</v>
      </c>
      <c r="Q27" s="18">
        <f t="shared" ref="Q27:Q29" si="25">450*0.8*40</f>
        <v>14400</v>
      </c>
      <c r="R27" s="18">
        <f t="shared" ref="R27:R29" si="26">1100*20</f>
        <v>22000</v>
      </c>
      <c r="T27" s="4"/>
    </row>
    <row r="28" spans="1:29" x14ac:dyDescent="0.3">
      <c r="B28" s="4" t="str">
        <f>B18</f>
        <v>A2B: Te Irirangi</v>
      </c>
      <c r="C28" s="4">
        <f t="shared" ref="C28:L28" si="27">C18</f>
        <v>0</v>
      </c>
      <c r="D28" s="7">
        <f t="shared" si="27"/>
        <v>0</v>
      </c>
      <c r="E28" s="18">
        <f t="shared" si="27"/>
        <v>1836</v>
      </c>
      <c r="F28" s="18">
        <f t="shared" si="27"/>
        <v>3190</v>
      </c>
      <c r="G28" s="18">
        <f t="shared" si="27"/>
        <v>0</v>
      </c>
      <c r="H28" s="18">
        <f t="shared" si="27"/>
        <v>0</v>
      </c>
      <c r="I28" s="18">
        <f t="shared" si="27"/>
        <v>0</v>
      </c>
      <c r="K28" s="8">
        <f t="shared" si="27"/>
        <v>1101.5999999999999</v>
      </c>
      <c r="L28" s="8">
        <f t="shared" si="27"/>
        <v>1914</v>
      </c>
      <c r="N28" s="18">
        <f t="shared" si="22"/>
        <v>2400</v>
      </c>
      <c r="O28" s="18">
        <f t="shared" si="23"/>
        <v>8000</v>
      </c>
      <c r="P28" s="18">
        <f t="shared" si="24"/>
        <v>7200</v>
      </c>
      <c r="Q28" s="18">
        <f t="shared" si="25"/>
        <v>14400</v>
      </c>
      <c r="R28" s="18">
        <f t="shared" si="26"/>
        <v>22000</v>
      </c>
      <c r="T28" s="4"/>
    </row>
    <row r="29" spans="1:29" x14ac:dyDescent="0.3">
      <c r="B29" s="4" t="str">
        <f>B15</f>
        <v>UH: Constellation</v>
      </c>
      <c r="C29" s="4" t="str">
        <f t="shared" ref="C29:L29" si="28">C15</f>
        <v>Cross-harbour</v>
      </c>
      <c r="D29" s="4" t="str">
        <f t="shared" si="28"/>
        <v>West - North Auckland</v>
      </c>
      <c r="E29" s="4">
        <f t="shared" si="28"/>
        <v>1803</v>
      </c>
      <c r="F29" s="4">
        <f t="shared" si="28"/>
        <v>8756</v>
      </c>
      <c r="G29" s="4">
        <f t="shared" si="28"/>
        <v>0</v>
      </c>
      <c r="H29" s="4">
        <f t="shared" si="28"/>
        <v>0</v>
      </c>
      <c r="I29" s="4">
        <f t="shared" si="28"/>
        <v>0</v>
      </c>
      <c r="J29" s="4"/>
      <c r="K29" s="4">
        <f t="shared" si="28"/>
        <v>1081.8</v>
      </c>
      <c r="L29" s="4">
        <f t="shared" si="28"/>
        <v>5253.5999999999995</v>
      </c>
      <c r="N29" s="18">
        <f t="shared" si="22"/>
        <v>2400</v>
      </c>
      <c r="O29" s="18">
        <f t="shared" si="23"/>
        <v>8000</v>
      </c>
      <c r="P29" s="18">
        <f t="shared" si="24"/>
        <v>7200</v>
      </c>
      <c r="Q29" s="18">
        <f t="shared" si="25"/>
        <v>14400</v>
      </c>
      <c r="R29" s="18">
        <f t="shared" si="26"/>
        <v>22000</v>
      </c>
      <c r="T29" s="4"/>
    </row>
    <row r="30" spans="1:29" x14ac:dyDescent="0.3">
      <c r="N30" s="18">
        <f t="shared" ref="N30:N48" si="29">30*80</f>
        <v>2400</v>
      </c>
      <c r="O30" s="18">
        <f t="shared" ref="O30:O48" si="30">100*80</f>
        <v>8000</v>
      </c>
      <c r="P30" s="18">
        <f t="shared" ref="P30:P48" si="31">450*0.8*20</f>
        <v>7200</v>
      </c>
      <c r="Q30" s="18">
        <f t="shared" ref="Q30:Q48" si="32">450*0.8*40</f>
        <v>14400</v>
      </c>
      <c r="R30" s="18">
        <f t="shared" ref="R30:R48" si="33">1100*20</f>
        <v>22000</v>
      </c>
      <c r="T30" s="4"/>
    </row>
    <row r="31" spans="1:29" x14ac:dyDescent="0.3">
      <c r="B31" s="4" t="s">
        <v>55</v>
      </c>
      <c r="C31" s="4" t="s">
        <v>56</v>
      </c>
      <c r="E31" s="18">
        <v>2800</v>
      </c>
      <c r="F31" s="18">
        <v>2323</v>
      </c>
      <c r="K31" s="8">
        <f>0.6*E31</f>
        <v>1680</v>
      </c>
      <c r="L31" s="8">
        <f t="shared" ref="L31" si="34">0.6*F31</f>
        <v>1393.8</v>
      </c>
      <c r="N31" s="18">
        <f t="shared" si="29"/>
        <v>2400</v>
      </c>
      <c r="O31" s="18">
        <f t="shared" si="30"/>
        <v>8000</v>
      </c>
      <c r="P31" s="18">
        <f t="shared" si="31"/>
        <v>7200</v>
      </c>
      <c r="Q31" s="18">
        <f t="shared" si="32"/>
        <v>14400</v>
      </c>
      <c r="R31" s="18">
        <f t="shared" si="33"/>
        <v>22000</v>
      </c>
      <c r="T31" s="4" t="str">
        <f>B31</f>
        <v>Sandringham</v>
      </c>
      <c r="U31" s="8">
        <f t="shared" ref="U31" si="35">K31</f>
        <v>1680</v>
      </c>
      <c r="V31" s="8">
        <f t="shared" ref="V31:V38" si="36">ROUNDUP($U31/(70*0.8),0)</f>
        <v>30</v>
      </c>
      <c r="W31" s="8">
        <f t="shared" ref="W31:W38" si="37">ROUNDUP($U31/80,0)</f>
        <v>21</v>
      </c>
    </row>
    <row r="32" spans="1:29" x14ac:dyDescent="0.3">
      <c r="B32" s="4" t="s">
        <v>57</v>
      </c>
      <c r="C32" s="4" t="s">
        <v>56</v>
      </c>
      <c r="E32" s="18">
        <v>2600</v>
      </c>
      <c r="F32" s="18">
        <v>1853</v>
      </c>
      <c r="K32" s="8">
        <f t="shared" ref="K32:K38" si="38">0.6*E32</f>
        <v>1560</v>
      </c>
      <c r="L32" s="8">
        <f t="shared" ref="L32:L38" si="39">0.6*F32</f>
        <v>1111.8</v>
      </c>
      <c r="N32" s="18">
        <f t="shared" si="29"/>
        <v>2400</v>
      </c>
      <c r="O32" s="18">
        <f t="shared" si="30"/>
        <v>8000</v>
      </c>
      <c r="P32" s="18">
        <f t="shared" si="31"/>
        <v>7200</v>
      </c>
      <c r="Q32" s="18">
        <f t="shared" si="32"/>
        <v>14400</v>
      </c>
      <c r="R32" s="18">
        <f t="shared" si="33"/>
        <v>22000</v>
      </c>
      <c r="T32" s="4" t="str">
        <f t="shared" ref="T32:T38" si="40">B32</f>
        <v>Mt Eden</v>
      </c>
      <c r="U32" s="8">
        <f t="shared" ref="U32:U38" si="41">K32</f>
        <v>1560</v>
      </c>
      <c r="V32" s="8">
        <f t="shared" si="36"/>
        <v>28</v>
      </c>
      <c r="W32" s="8">
        <f t="shared" si="37"/>
        <v>20</v>
      </c>
    </row>
    <row r="33" spans="2:40" x14ac:dyDescent="0.3">
      <c r="B33" s="4" t="s">
        <v>58</v>
      </c>
      <c r="C33" s="4" t="s">
        <v>59</v>
      </c>
      <c r="E33" s="18">
        <v>2861</v>
      </c>
      <c r="F33" s="18">
        <v>2117</v>
      </c>
      <c r="K33" s="8">
        <f t="shared" si="38"/>
        <v>1716.6</v>
      </c>
      <c r="L33" s="8">
        <f t="shared" si="39"/>
        <v>1270.2</v>
      </c>
      <c r="N33" s="18">
        <f t="shared" si="29"/>
        <v>2400</v>
      </c>
      <c r="O33" s="18">
        <f t="shared" si="30"/>
        <v>8000</v>
      </c>
      <c r="P33" s="18">
        <f t="shared" si="31"/>
        <v>7200</v>
      </c>
      <c r="Q33" s="18">
        <f t="shared" si="32"/>
        <v>14400</v>
      </c>
      <c r="R33" s="18">
        <f t="shared" si="33"/>
        <v>22000</v>
      </c>
      <c r="T33" s="4" t="str">
        <f t="shared" si="40"/>
        <v>Manukau</v>
      </c>
      <c r="U33" s="8">
        <f t="shared" si="41"/>
        <v>1716.6</v>
      </c>
      <c r="V33" s="8">
        <f t="shared" si="36"/>
        <v>31</v>
      </c>
      <c r="W33" s="8">
        <f t="shared" si="37"/>
        <v>22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0" x14ac:dyDescent="0.3">
      <c r="B34" s="4" t="s">
        <v>60</v>
      </c>
      <c r="C34" s="4" t="s">
        <v>59</v>
      </c>
      <c r="D34" s="7" t="s">
        <v>61</v>
      </c>
      <c r="E34" s="18">
        <v>2370</v>
      </c>
      <c r="F34" s="18">
        <v>2613</v>
      </c>
      <c r="K34" s="8">
        <f t="shared" si="38"/>
        <v>1422</v>
      </c>
      <c r="L34" s="8">
        <f t="shared" si="39"/>
        <v>1567.8</v>
      </c>
      <c r="N34" s="18">
        <f t="shared" si="29"/>
        <v>2400</v>
      </c>
      <c r="O34" s="18">
        <f t="shared" si="30"/>
        <v>8000</v>
      </c>
      <c r="P34" s="18">
        <f t="shared" si="31"/>
        <v>7200</v>
      </c>
      <c r="Q34" s="18">
        <f t="shared" si="32"/>
        <v>14400</v>
      </c>
      <c r="R34" s="18">
        <f t="shared" si="33"/>
        <v>22000</v>
      </c>
      <c r="T34" s="4" t="str">
        <f t="shared" si="40"/>
        <v xml:space="preserve">Remerua </v>
      </c>
      <c r="U34" s="8">
        <f t="shared" si="41"/>
        <v>1422</v>
      </c>
      <c r="V34" s="8">
        <f t="shared" si="36"/>
        <v>26</v>
      </c>
      <c r="W34" s="8">
        <f t="shared" si="37"/>
        <v>18</v>
      </c>
    </row>
    <row r="35" spans="2:40" x14ac:dyDescent="0.3">
      <c r="B35" s="4" t="s">
        <v>62</v>
      </c>
      <c r="C35" s="4" t="s">
        <v>59</v>
      </c>
      <c r="D35" s="7" t="s">
        <v>39</v>
      </c>
      <c r="E35" s="18">
        <v>2329</v>
      </c>
      <c r="F35" s="18">
        <v>2741</v>
      </c>
      <c r="K35" s="8">
        <f t="shared" si="38"/>
        <v>1397.3999999999999</v>
      </c>
      <c r="L35" s="8">
        <f t="shared" si="39"/>
        <v>1644.6</v>
      </c>
      <c r="N35" s="18">
        <f t="shared" si="29"/>
        <v>2400</v>
      </c>
      <c r="O35" s="18">
        <f t="shared" si="30"/>
        <v>8000</v>
      </c>
      <c r="P35" s="18">
        <f t="shared" si="31"/>
        <v>7200</v>
      </c>
      <c r="Q35" s="18">
        <f t="shared" si="32"/>
        <v>14400</v>
      </c>
      <c r="R35" s="18">
        <f t="shared" si="33"/>
        <v>22000</v>
      </c>
      <c r="T35" s="4" t="str">
        <f t="shared" si="40"/>
        <v>Great South</v>
      </c>
      <c r="U35" s="8">
        <f t="shared" si="41"/>
        <v>1397.3999999999999</v>
      </c>
      <c r="V35" s="8">
        <f t="shared" si="36"/>
        <v>25</v>
      </c>
      <c r="W35" s="8">
        <f t="shared" si="37"/>
        <v>18</v>
      </c>
    </row>
    <row r="36" spans="2:40" x14ac:dyDescent="0.3">
      <c r="B36" s="4" t="s">
        <v>63</v>
      </c>
      <c r="C36" s="4" t="s">
        <v>64</v>
      </c>
      <c r="D36" s="7" t="s">
        <v>65</v>
      </c>
      <c r="E36" s="18">
        <v>2418</v>
      </c>
      <c r="F36" s="18">
        <v>1652</v>
      </c>
      <c r="K36" s="8">
        <f t="shared" si="38"/>
        <v>1450.8</v>
      </c>
      <c r="L36" s="8">
        <f t="shared" si="39"/>
        <v>991.19999999999993</v>
      </c>
      <c r="N36" s="18">
        <f t="shared" si="29"/>
        <v>2400</v>
      </c>
      <c r="O36" s="18">
        <f t="shared" si="30"/>
        <v>8000</v>
      </c>
      <c r="P36" s="18">
        <f t="shared" si="31"/>
        <v>7200</v>
      </c>
      <c r="Q36" s="18">
        <f t="shared" si="32"/>
        <v>14400</v>
      </c>
      <c r="R36" s="18">
        <f t="shared" si="33"/>
        <v>22000</v>
      </c>
      <c r="T36" s="4" t="str">
        <f t="shared" si="40"/>
        <v>Tamaki</v>
      </c>
      <c r="U36" s="8">
        <f t="shared" si="41"/>
        <v>1450.8</v>
      </c>
      <c r="V36" s="8">
        <f t="shared" si="36"/>
        <v>26</v>
      </c>
      <c r="W36" s="8">
        <f t="shared" si="37"/>
        <v>19</v>
      </c>
    </row>
    <row r="37" spans="2:40" x14ac:dyDescent="0.3">
      <c r="B37" s="4" t="s">
        <v>66</v>
      </c>
      <c r="D37" s="7" t="s">
        <v>67</v>
      </c>
      <c r="E37" s="18" t="s">
        <v>68</v>
      </c>
      <c r="F37" s="18">
        <v>11124</v>
      </c>
      <c r="K37" s="8" t="e">
        <f t="shared" si="38"/>
        <v>#VALUE!</v>
      </c>
      <c r="L37" s="8">
        <f t="shared" si="39"/>
        <v>6674.4</v>
      </c>
      <c r="N37" s="18">
        <f t="shared" si="29"/>
        <v>2400</v>
      </c>
      <c r="O37" s="18">
        <f t="shared" si="30"/>
        <v>8000</v>
      </c>
      <c r="P37" s="18">
        <f t="shared" si="31"/>
        <v>7200</v>
      </c>
      <c r="Q37" s="18">
        <f t="shared" si="32"/>
        <v>14400</v>
      </c>
      <c r="R37" s="18">
        <f t="shared" si="33"/>
        <v>22000</v>
      </c>
      <c r="T37" s="4" t="str">
        <f t="shared" si="40"/>
        <v>SH1</v>
      </c>
      <c r="U37" s="8" t="e">
        <f t="shared" si="41"/>
        <v>#VALUE!</v>
      </c>
      <c r="V37" s="8" t="e">
        <f t="shared" si="36"/>
        <v>#VALUE!</v>
      </c>
      <c r="W37" s="8" t="e">
        <f t="shared" si="37"/>
        <v>#VALUE!</v>
      </c>
    </row>
    <row r="38" spans="2:40" x14ac:dyDescent="0.3">
      <c r="B38" s="4" t="s">
        <v>69</v>
      </c>
      <c r="E38" s="18" t="s">
        <v>68</v>
      </c>
      <c r="F38" s="18">
        <v>3348</v>
      </c>
      <c r="K38" s="8" t="e">
        <f t="shared" si="38"/>
        <v>#VALUE!</v>
      </c>
      <c r="L38" s="8">
        <f t="shared" si="39"/>
        <v>2008.8</v>
      </c>
      <c r="N38" s="18">
        <f t="shared" si="29"/>
        <v>2400</v>
      </c>
      <c r="O38" s="18">
        <f t="shared" si="30"/>
        <v>8000</v>
      </c>
      <c r="P38" s="18">
        <f t="shared" si="31"/>
        <v>7200</v>
      </c>
      <c r="Q38" s="18">
        <f t="shared" si="32"/>
        <v>14400</v>
      </c>
      <c r="R38" s="18">
        <f t="shared" si="33"/>
        <v>22000</v>
      </c>
      <c r="T38" s="4" t="str">
        <f t="shared" si="40"/>
        <v>Mill Road</v>
      </c>
      <c r="U38" s="8" t="e">
        <f t="shared" si="41"/>
        <v>#VALUE!</v>
      </c>
      <c r="V38" s="8" t="e">
        <f t="shared" si="36"/>
        <v>#VALUE!</v>
      </c>
      <c r="W38" s="8" t="e">
        <f t="shared" si="37"/>
        <v>#VALUE!</v>
      </c>
    </row>
    <row r="39" spans="2:40" x14ac:dyDescent="0.3">
      <c r="B39" s="4" t="s">
        <v>70</v>
      </c>
      <c r="E39" s="18">
        <v>1222</v>
      </c>
      <c r="F39" s="18">
        <v>1684</v>
      </c>
      <c r="K39" s="8">
        <f t="shared" ref="K39:L44" si="42">0.6*E39</f>
        <v>733.19999999999993</v>
      </c>
      <c r="L39" s="8">
        <f t="shared" si="42"/>
        <v>1010.4</v>
      </c>
      <c r="N39" s="18">
        <f t="shared" si="29"/>
        <v>2400</v>
      </c>
      <c r="O39" s="18">
        <f t="shared" si="30"/>
        <v>8000</v>
      </c>
      <c r="P39" s="18">
        <f t="shared" si="31"/>
        <v>7200</v>
      </c>
      <c r="Q39" s="18">
        <f t="shared" si="32"/>
        <v>14400</v>
      </c>
      <c r="R39" s="18">
        <f t="shared" si="33"/>
        <v>22000</v>
      </c>
      <c r="T39" s="4" t="str">
        <f t="shared" ref="T39:T44" si="43">B39</f>
        <v>Papatoetoe to Māngere</v>
      </c>
      <c r="U39" s="8">
        <f t="shared" ref="U39:U44" si="44">K39</f>
        <v>733.19999999999993</v>
      </c>
      <c r="V39" s="8">
        <f t="shared" ref="V39:V44" si="45">ROUNDUP($U39/(70*0.8),0)</f>
        <v>14</v>
      </c>
      <c r="W39" s="8">
        <f t="shared" ref="W39:W44" si="46">ROUNDUP($U39/80,0)</f>
        <v>10</v>
      </c>
    </row>
    <row r="40" spans="2:40" x14ac:dyDescent="0.3">
      <c r="B40" s="4" t="s">
        <v>71</v>
      </c>
      <c r="E40" s="18">
        <v>1134</v>
      </c>
      <c r="F40" s="18">
        <v>2958</v>
      </c>
      <c r="K40" s="8">
        <f t="shared" si="42"/>
        <v>680.4</v>
      </c>
      <c r="L40" s="8">
        <f t="shared" si="42"/>
        <v>1774.8</v>
      </c>
      <c r="N40" s="18">
        <f t="shared" si="29"/>
        <v>2400</v>
      </c>
      <c r="O40" s="18">
        <f t="shared" si="30"/>
        <v>8000</v>
      </c>
      <c r="P40" s="18">
        <f t="shared" si="31"/>
        <v>7200</v>
      </c>
      <c r="Q40" s="18">
        <f t="shared" si="32"/>
        <v>14400</v>
      </c>
      <c r="R40" s="18">
        <f t="shared" si="33"/>
        <v>22000</v>
      </c>
      <c r="T40" s="4" t="str">
        <f t="shared" si="43"/>
        <v>Papatoetoe to Ōtara</v>
      </c>
      <c r="U40" s="8">
        <f t="shared" si="44"/>
        <v>680.4</v>
      </c>
      <c r="V40" s="8">
        <f t="shared" si="45"/>
        <v>13</v>
      </c>
      <c r="W40" s="8">
        <f t="shared" si="46"/>
        <v>9</v>
      </c>
    </row>
    <row r="41" spans="2:40" x14ac:dyDescent="0.3">
      <c r="B41" s="4" t="s">
        <v>72</v>
      </c>
      <c r="E41" s="18" t="s">
        <v>68</v>
      </c>
      <c r="F41" s="18">
        <v>3374</v>
      </c>
      <c r="K41" s="8" t="e">
        <f t="shared" si="42"/>
        <v>#VALUE!</v>
      </c>
      <c r="L41" s="8">
        <f t="shared" si="42"/>
        <v>2024.3999999999999</v>
      </c>
      <c r="N41" s="18">
        <f t="shared" si="29"/>
        <v>2400</v>
      </c>
      <c r="O41" s="18">
        <f t="shared" si="30"/>
        <v>8000</v>
      </c>
      <c r="P41" s="18">
        <f t="shared" si="31"/>
        <v>7200</v>
      </c>
      <c r="Q41" s="18">
        <f t="shared" si="32"/>
        <v>14400</v>
      </c>
      <c r="R41" s="18">
        <f t="shared" si="33"/>
        <v>22000</v>
      </c>
      <c r="T41" s="4" t="str">
        <f t="shared" si="43"/>
        <v>Roscommon + Mahia</v>
      </c>
      <c r="U41" s="8" t="e">
        <f t="shared" si="44"/>
        <v>#VALUE!</v>
      </c>
      <c r="V41" s="8" t="e">
        <f t="shared" si="45"/>
        <v>#VALUE!</v>
      </c>
      <c r="W41" s="8" t="e">
        <f t="shared" si="46"/>
        <v>#VALUE!</v>
      </c>
    </row>
    <row r="42" spans="2:40" x14ac:dyDescent="0.3">
      <c r="B42" s="4" t="s">
        <v>73</v>
      </c>
      <c r="C42" s="4" t="s">
        <v>74</v>
      </c>
      <c r="D42" s="7" t="s">
        <v>75</v>
      </c>
      <c r="E42" s="18">
        <v>4203</v>
      </c>
      <c r="F42" s="18">
        <v>1317</v>
      </c>
      <c r="K42" s="8">
        <f t="shared" si="42"/>
        <v>2521.7999999999997</v>
      </c>
      <c r="L42" s="8">
        <f t="shared" si="42"/>
        <v>790.19999999999993</v>
      </c>
      <c r="N42" s="18">
        <f t="shared" si="29"/>
        <v>2400</v>
      </c>
      <c r="O42" s="18">
        <f t="shared" si="30"/>
        <v>8000</v>
      </c>
      <c r="P42" s="18">
        <f t="shared" si="31"/>
        <v>7200</v>
      </c>
      <c r="Q42" s="18">
        <f t="shared" si="32"/>
        <v>14400</v>
      </c>
      <c r="R42" s="18">
        <f t="shared" si="33"/>
        <v>22000</v>
      </c>
      <c r="T42" s="4" t="str">
        <f t="shared" si="43"/>
        <v>Onewa: Total</v>
      </c>
      <c r="U42" s="8">
        <f t="shared" si="44"/>
        <v>2521.7999999999997</v>
      </c>
      <c r="V42" s="8">
        <f t="shared" si="45"/>
        <v>46</v>
      </c>
      <c r="W42" s="8">
        <f t="shared" si="46"/>
        <v>32</v>
      </c>
    </row>
    <row r="43" spans="2:40" x14ac:dyDescent="0.3">
      <c r="B43" s="4" t="s">
        <v>76</v>
      </c>
      <c r="C43" s="4" t="s">
        <v>77</v>
      </c>
      <c r="D43" s="7" t="s">
        <v>78</v>
      </c>
      <c r="E43" s="18">
        <v>1022</v>
      </c>
      <c r="F43" s="18">
        <v>1068</v>
      </c>
      <c r="K43" s="8">
        <f t="shared" si="42"/>
        <v>613.19999999999993</v>
      </c>
      <c r="L43" s="8">
        <f t="shared" si="42"/>
        <v>640.79999999999995</v>
      </c>
      <c r="N43" s="18">
        <f t="shared" si="29"/>
        <v>2400</v>
      </c>
      <c r="O43" s="18">
        <f t="shared" si="30"/>
        <v>8000</v>
      </c>
      <c r="P43" s="18">
        <f t="shared" si="31"/>
        <v>7200</v>
      </c>
      <c r="Q43" s="18">
        <f t="shared" si="32"/>
        <v>14400</v>
      </c>
      <c r="R43" s="18">
        <f t="shared" si="33"/>
        <v>22000</v>
      </c>
      <c r="T43" s="4" t="str">
        <f t="shared" si="43"/>
        <v>Onewa: Glenfield</v>
      </c>
      <c r="U43" s="8">
        <f t="shared" si="44"/>
        <v>613.19999999999993</v>
      </c>
      <c r="V43" s="8">
        <f t="shared" si="45"/>
        <v>11</v>
      </c>
      <c r="W43" s="8">
        <f t="shared" si="46"/>
        <v>8</v>
      </c>
    </row>
    <row r="44" spans="2:40" x14ac:dyDescent="0.3">
      <c r="B44" s="4" t="s">
        <v>79</v>
      </c>
      <c r="C44" s="4" t="s">
        <v>77</v>
      </c>
      <c r="D44" s="7" t="s">
        <v>80</v>
      </c>
      <c r="E44" s="18">
        <v>2777</v>
      </c>
      <c r="F44" s="18">
        <v>1453</v>
      </c>
      <c r="K44" s="8">
        <f t="shared" si="42"/>
        <v>1666.2</v>
      </c>
      <c r="L44" s="8">
        <f t="shared" si="42"/>
        <v>871.8</v>
      </c>
      <c r="N44" s="18">
        <f t="shared" ref="N44:N46" si="47">30*80</f>
        <v>2400</v>
      </c>
      <c r="O44" s="18">
        <f t="shared" ref="O44:O46" si="48">100*80</f>
        <v>8000</v>
      </c>
      <c r="P44" s="18">
        <f t="shared" ref="P44:P46" si="49">450*0.8*20</f>
        <v>7200</v>
      </c>
      <c r="Q44" s="18">
        <f t="shared" ref="Q44:Q46" si="50">450*0.8*40</f>
        <v>14400</v>
      </c>
      <c r="R44" s="18">
        <f t="shared" ref="R44:R46" si="51">1100*20</f>
        <v>22000</v>
      </c>
      <c r="T44" s="4" t="str">
        <f t="shared" si="43"/>
        <v>Onewa: Beachhaven</v>
      </c>
      <c r="U44" s="8">
        <f t="shared" si="44"/>
        <v>1666.2</v>
      </c>
      <c r="V44" s="8">
        <f t="shared" si="45"/>
        <v>30</v>
      </c>
      <c r="W44" s="8">
        <f t="shared" si="46"/>
        <v>21</v>
      </c>
    </row>
    <row r="46" spans="2:40" x14ac:dyDescent="0.3">
      <c r="N46" s="18">
        <f t="shared" si="47"/>
        <v>2400</v>
      </c>
      <c r="O46" s="18">
        <f t="shared" si="48"/>
        <v>8000</v>
      </c>
      <c r="P46" s="18">
        <f t="shared" si="49"/>
        <v>7200</v>
      </c>
      <c r="Q46" s="18">
        <f t="shared" si="50"/>
        <v>14400</v>
      </c>
      <c r="R46" s="18">
        <f t="shared" si="51"/>
        <v>22000</v>
      </c>
    </row>
    <row r="47" spans="2:40" x14ac:dyDescent="0.3">
      <c r="B47" s="4" t="s">
        <v>81</v>
      </c>
      <c r="E47" s="18" t="s">
        <v>68</v>
      </c>
      <c r="F47" s="18" t="s">
        <v>68</v>
      </c>
      <c r="K47" s="8" t="e">
        <f>0.6*E47</f>
        <v>#VALUE!</v>
      </c>
      <c r="L47" s="8" t="e">
        <f>0.6*F47</f>
        <v>#VALUE!</v>
      </c>
      <c r="N47" s="18">
        <f t="shared" si="29"/>
        <v>2400</v>
      </c>
      <c r="O47" s="18">
        <f t="shared" si="30"/>
        <v>8000</v>
      </c>
      <c r="P47" s="18">
        <f t="shared" si="31"/>
        <v>7200</v>
      </c>
      <c r="Q47" s="18">
        <f t="shared" si="32"/>
        <v>14400</v>
      </c>
      <c r="R47" s="18">
        <f t="shared" si="33"/>
        <v>22000</v>
      </c>
      <c r="T47" s="4" t="str">
        <f>B47</f>
        <v>Flat Bush</v>
      </c>
      <c r="U47" s="8" t="e">
        <f>K47</f>
        <v>#VALUE!</v>
      </c>
      <c r="V47" s="8" t="e">
        <f>ROUNDUP($U47/(70*0.8),0)</f>
        <v>#VALUE!</v>
      </c>
      <c r="W47" s="8" t="e">
        <f>ROUNDUP($U47/80,0)</f>
        <v>#VALUE!</v>
      </c>
    </row>
    <row r="48" spans="2:40" x14ac:dyDescent="0.3">
      <c r="B48" s="4" t="s">
        <v>48</v>
      </c>
      <c r="E48" s="18">
        <v>1210</v>
      </c>
      <c r="F48" s="18">
        <v>5364</v>
      </c>
      <c r="H48" s="18">
        <v>712</v>
      </c>
      <c r="K48" s="8">
        <f>0.6*E48</f>
        <v>726</v>
      </c>
      <c r="L48" s="8">
        <f>0.6*F48</f>
        <v>3218.4</v>
      </c>
      <c r="N48" s="18">
        <f t="shared" si="29"/>
        <v>2400</v>
      </c>
      <c r="O48" s="18">
        <f t="shared" si="30"/>
        <v>8000</v>
      </c>
      <c r="P48" s="18">
        <f t="shared" si="31"/>
        <v>7200</v>
      </c>
      <c r="Q48" s="18">
        <f t="shared" si="32"/>
        <v>14400</v>
      </c>
      <c r="R48" s="18">
        <f t="shared" si="33"/>
        <v>22000</v>
      </c>
      <c r="T48" s="4" t="str">
        <f>B48</f>
        <v>AMETI: Howick</v>
      </c>
      <c r="U48" s="8">
        <f>K48</f>
        <v>726</v>
      </c>
      <c r="V48" s="8">
        <f>ROUNDUP($U48/(70*0.8),0)</f>
        <v>13</v>
      </c>
      <c r="W48" s="8">
        <f>ROUNDUP($U48/80,0)</f>
        <v>10</v>
      </c>
    </row>
  </sheetData>
  <mergeCells count="9">
    <mergeCell ref="E1:I1"/>
    <mergeCell ref="N1:R2"/>
    <mergeCell ref="K1:L2"/>
    <mergeCell ref="A14:A22"/>
    <mergeCell ref="A9:A12"/>
    <mergeCell ref="A5:A7"/>
    <mergeCell ref="E2:F2"/>
    <mergeCell ref="U2:W2"/>
    <mergeCell ref="H2:I2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D6A3-965F-4897-A006-5E9F17B3132D}">
  <dimension ref="A1:R44"/>
  <sheetViews>
    <sheetView workbookViewId="0">
      <selection activeCell="D30" sqref="D30"/>
    </sheetView>
  </sheetViews>
  <sheetFormatPr defaultColWidth="9.1796875" defaultRowHeight="13" x14ac:dyDescent="0.3"/>
  <cols>
    <col min="1" max="1" width="12.1796875" style="37" bestFit="1" customWidth="1"/>
    <col min="2" max="2" width="20.54296875" style="37" bestFit="1" customWidth="1"/>
    <col min="3" max="3" width="24.81640625" style="37" bestFit="1" customWidth="1"/>
    <col min="4" max="5" width="6.453125" style="37" bestFit="1" customWidth="1"/>
    <col min="6" max="6" width="9.1796875" style="37" customWidth="1"/>
    <col min="7" max="8" width="6.453125" style="37" bestFit="1" customWidth="1"/>
    <col min="9" max="16384" width="9.1796875" style="37"/>
  </cols>
  <sheetData>
    <row r="1" spans="1:18" x14ac:dyDescent="0.3">
      <c r="A1" s="11"/>
      <c r="B1" s="39" t="s">
        <v>5</v>
      </c>
      <c r="C1" s="11" t="s">
        <v>6</v>
      </c>
      <c r="D1" s="40" t="s">
        <v>8</v>
      </c>
      <c r="E1" s="40" t="s">
        <v>9</v>
      </c>
      <c r="F1" s="38"/>
      <c r="G1" s="40" t="s">
        <v>8</v>
      </c>
      <c r="H1" s="40" t="s">
        <v>9</v>
      </c>
      <c r="I1" s="38"/>
      <c r="J1" s="40" t="s">
        <v>8</v>
      </c>
      <c r="K1" s="40" t="s">
        <v>9</v>
      </c>
      <c r="N1" s="81" t="s">
        <v>82</v>
      </c>
      <c r="O1" s="81"/>
      <c r="P1" s="46"/>
      <c r="Q1" s="81" t="s">
        <v>83</v>
      </c>
      <c r="R1" s="81"/>
    </row>
    <row r="2" spans="1:18" x14ac:dyDescent="0.3">
      <c r="A2" s="41"/>
      <c r="B2" s="15"/>
      <c r="C2" s="15"/>
      <c r="D2" s="42"/>
      <c r="E2" s="42"/>
      <c r="F2" s="38"/>
      <c r="G2" s="42"/>
      <c r="H2" s="42"/>
      <c r="I2" s="38"/>
      <c r="J2" s="42"/>
      <c r="K2" s="42"/>
      <c r="N2" s="37" t="s">
        <v>84</v>
      </c>
      <c r="O2" s="37" t="s">
        <v>85</v>
      </c>
      <c r="Q2" s="37" t="s">
        <v>84</v>
      </c>
      <c r="R2" s="37" t="s">
        <v>85</v>
      </c>
    </row>
    <row r="3" spans="1:18" x14ac:dyDescent="0.3">
      <c r="A3" s="78" t="s">
        <v>19</v>
      </c>
      <c r="B3" s="7" t="s">
        <v>20</v>
      </c>
      <c r="C3" s="7" t="s">
        <v>21</v>
      </c>
      <c r="D3" s="43">
        <v>14180</v>
      </c>
      <c r="E3" s="43"/>
      <c r="F3" s="38"/>
      <c r="G3" s="43">
        <f>11727 +5274</f>
        <v>17001</v>
      </c>
      <c r="H3" s="43">
        <f>10958+8144</f>
        <v>19102</v>
      </c>
      <c r="I3" s="38"/>
      <c r="J3" s="43">
        <f>G3-D3</f>
        <v>2821</v>
      </c>
      <c r="K3" s="43"/>
      <c r="M3" s="37" t="s">
        <v>86</v>
      </c>
      <c r="N3" s="37">
        <v>0.38</v>
      </c>
      <c r="O3" s="37">
        <v>0.28000000000000003</v>
      </c>
      <c r="P3" s="37" t="s">
        <v>87</v>
      </c>
      <c r="Q3" s="37">
        <v>30</v>
      </c>
      <c r="R3" s="37">
        <v>35</v>
      </c>
    </row>
    <row r="4" spans="1:18" x14ac:dyDescent="0.3">
      <c r="A4" s="79"/>
      <c r="B4" s="7" t="s">
        <v>23</v>
      </c>
      <c r="C4" s="7" t="s">
        <v>24</v>
      </c>
      <c r="D4" s="43">
        <v>3570</v>
      </c>
      <c r="E4" s="43"/>
      <c r="G4" s="43">
        <v>9622</v>
      </c>
      <c r="H4" s="43">
        <v>1510</v>
      </c>
      <c r="J4" s="43">
        <f t="shared" ref="J4:J22" si="0">G4-D4</f>
        <v>6052</v>
      </c>
      <c r="K4" s="43"/>
      <c r="M4" s="37" t="s">
        <v>88</v>
      </c>
      <c r="N4" s="37">
        <v>0.65</v>
      </c>
      <c r="O4" s="37">
        <v>0.19</v>
      </c>
      <c r="P4" s="37" t="s">
        <v>89</v>
      </c>
      <c r="Q4" s="37">
        <v>41</v>
      </c>
      <c r="R4" s="37">
        <v>55</v>
      </c>
    </row>
    <row r="5" spans="1:18" x14ac:dyDescent="0.3">
      <c r="A5" s="80"/>
      <c r="B5" s="7" t="s">
        <v>26</v>
      </c>
      <c r="C5" s="7" t="s">
        <v>24</v>
      </c>
      <c r="D5" s="43">
        <f>3531+2128</f>
        <v>5659</v>
      </c>
      <c r="E5" s="43"/>
      <c r="G5" s="43">
        <v>11458</v>
      </c>
      <c r="H5" s="43">
        <v>13910</v>
      </c>
      <c r="J5" s="43">
        <f t="shared" si="0"/>
        <v>5799</v>
      </c>
      <c r="K5" s="43"/>
      <c r="M5" s="37" t="s">
        <v>90</v>
      </c>
      <c r="N5" s="37">
        <v>0.47</v>
      </c>
      <c r="O5" s="37">
        <v>0.17</v>
      </c>
      <c r="P5" s="37" t="s">
        <v>91</v>
      </c>
      <c r="Q5" s="37">
        <v>44</v>
      </c>
      <c r="R5" s="37">
        <v>50</v>
      </c>
    </row>
    <row r="6" spans="1:18" x14ac:dyDescent="0.3">
      <c r="A6" s="41"/>
      <c r="B6" s="15"/>
      <c r="C6" s="15"/>
      <c r="D6" s="42"/>
      <c r="E6" s="42"/>
      <c r="G6" s="42"/>
      <c r="H6" s="42"/>
      <c r="J6" s="42"/>
      <c r="K6" s="42"/>
    </row>
    <row r="7" spans="1:18" x14ac:dyDescent="0.3">
      <c r="A7" s="78" t="s">
        <v>28</v>
      </c>
      <c r="B7" s="7" t="s">
        <v>29</v>
      </c>
      <c r="C7" s="7" t="s">
        <v>30</v>
      </c>
      <c r="D7" s="43">
        <v>12553</v>
      </c>
      <c r="E7" s="43"/>
      <c r="G7" s="43">
        <f>6328+1381</f>
        <v>7709</v>
      </c>
      <c r="H7" s="43" t="s">
        <v>32</v>
      </c>
      <c r="J7" s="43">
        <f t="shared" si="0"/>
        <v>-4844</v>
      </c>
      <c r="K7" s="43"/>
    </row>
    <row r="8" spans="1:18" x14ac:dyDescent="0.3">
      <c r="A8" s="79"/>
      <c r="B8" s="7" t="s">
        <v>33</v>
      </c>
      <c r="C8" s="7" t="s">
        <v>21</v>
      </c>
      <c r="D8" s="43">
        <v>12558</v>
      </c>
      <c r="E8" s="43"/>
      <c r="G8" s="43">
        <v>19652</v>
      </c>
      <c r="H8" s="43" t="s">
        <v>32</v>
      </c>
      <c r="J8" s="43">
        <f t="shared" si="0"/>
        <v>7094</v>
      </c>
      <c r="K8" s="43"/>
    </row>
    <row r="9" spans="1:18" x14ac:dyDescent="0.3">
      <c r="A9" s="79"/>
      <c r="B9" s="7" t="s">
        <v>34</v>
      </c>
      <c r="C9" s="7" t="s">
        <v>24</v>
      </c>
      <c r="D9" s="43">
        <v>10295</v>
      </c>
      <c r="E9" s="43"/>
      <c r="G9" s="43">
        <v>10806</v>
      </c>
      <c r="H9" s="43" t="s">
        <v>32</v>
      </c>
      <c r="J9" s="43">
        <f t="shared" si="0"/>
        <v>511</v>
      </c>
      <c r="K9" s="43"/>
    </row>
    <row r="10" spans="1:18" x14ac:dyDescent="0.3">
      <c r="A10" s="80"/>
      <c r="B10" s="7" t="s">
        <v>35</v>
      </c>
      <c r="C10" s="20"/>
      <c r="D10" s="43">
        <v>766</v>
      </c>
      <c r="E10" s="43"/>
      <c r="G10" s="43">
        <v>425</v>
      </c>
      <c r="H10" s="43" t="s">
        <v>32</v>
      </c>
      <c r="J10" s="43">
        <f t="shared" si="0"/>
        <v>-341</v>
      </c>
      <c r="K10" s="43"/>
    </row>
    <row r="11" spans="1:18" x14ac:dyDescent="0.3">
      <c r="A11" s="41"/>
      <c r="B11" s="15"/>
      <c r="C11" s="15"/>
      <c r="D11" s="42"/>
      <c r="E11" s="42"/>
      <c r="G11" s="42"/>
      <c r="H11" s="42"/>
      <c r="J11" s="42"/>
      <c r="K11" s="42"/>
    </row>
    <row r="12" spans="1:18" x14ac:dyDescent="0.3">
      <c r="A12" s="78" t="s">
        <v>36</v>
      </c>
      <c r="B12" s="7" t="s">
        <v>37</v>
      </c>
      <c r="C12" s="7"/>
      <c r="D12" s="43">
        <v>412</v>
      </c>
      <c r="E12" s="43"/>
      <c r="G12" s="43">
        <v>1592</v>
      </c>
      <c r="H12" s="43" t="s">
        <v>32</v>
      </c>
      <c r="J12" s="43">
        <f t="shared" si="0"/>
        <v>1180</v>
      </c>
      <c r="K12" s="43"/>
    </row>
    <row r="13" spans="1:18" x14ac:dyDescent="0.3">
      <c r="A13" s="79"/>
      <c r="B13" s="7" t="s">
        <v>40</v>
      </c>
      <c r="C13" s="7" t="s">
        <v>30</v>
      </c>
      <c r="D13" s="43">
        <v>674</v>
      </c>
      <c r="E13" s="43"/>
      <c r="G13" s="43">
        <v>1803</v>
      </c>
      <c r="H13" s="43">
        <v>8756</v>
      </c>
      <c r="J13" s="43">
        <f t="shared" si="0"/>
        <v>1129</v>
      </c>
      <c r="K13" s="43"/>
      <c r="P13" s="37" t="s">
        <v>92</v>
      </c>
      <c r="Q13" s="37">
        <v>47</v>
      </c>
      <c r="R13" s="37">
        <v>74</v>
      </c>
    </row>
    <row r="14" spans="1:18" x14ac:dyDescent="0.3">
      <c r="A14" s="79"/>
      <c r="B14" s="7" t="s">
        <v>42</v>
      </c>
      <c r="C14" s="7" t="s">
        <v>43</v>
      </c>
      <c r="D14" s="43">
        <v>954</v>
      </c>
      <c r="E14" s="43"/>
      <c r="G14" s="43">
        <v>1302</v>
      </c>
      <c r="H14" s="43">
        <v>1683</v>
      </c>
      <c r="J14" s="43">
        <f t="shared" si="0"/>
        <v>348</v>
      </c>
      <c r="K14" s="43"/>
      <c r="P14" s="37" t="s">
        <v>93</v>
      </c>
      <c r="Q14" s="37">
        <v>35</v>
      </c>
      <c r="R14" s="37">
        <v>51</v>
      </c>
    </row>
    <row r="15" spans="1:18" x14ac:dyDescent="0.3">
      <c r="A15" s="79"/>
      <c r="B15" s="7" t="s">
        <v>45</v>
      </c>
      <c r="C15" s="7"/>
      <c r="D15" s="43">
        <v>2584</v>
      </c>
      <c r="E15" s="43"/>
      <c r="G15" s="43">
        <v>1511</v>
      </c>
      <c r="H15" s="43">
        <v>3321</v>
      </c>
      <c r="J15" s="43">
        <f t="shared" si="0"/>
        <v>-1073</v>
      </c>
      <c r="K15" s="43"/>
      <c r="P15" s="37" t="s">
        <v>94</v>
      </c>
      <c r="Q15" s="37">
        <v>20</v>
      </c>
      <c r="R15" s="37">
        <v>34</v>
      </c>
    </row>
    <row r="16" spans="1:18" x14ac:dyDescent="0.3">
      <c r="A16" s="79"/>
      <c r="B16" s="7" t="s">
        <v>46</v>
      </c>
      <c r="C16" s="7"/>
      <c r="D16" s="43">
        <v>1396</v>
      </c>
      <c r="E16" s="43"/>
      <c r="G16" s="43">
        <v>1836</v>
      </c>
      <c r="H16" s="43">
        <v>3190</v>
      </c>
      <c r="J16" s="43">
        <f t="shared" si="0"/>
        <v>440</v>
      </c>
      <c r="K16" s="43"/>
      <c r="P16" s="37" t="s">
        <v>95</v>
      </c>
      <c r="Q16" s="37">
        <v>26</v>
      </c>
      <c r="R16" s="37">
        <v>30</v>
      </c>
    </row>
    <row r="17" spans="1:18" x14ac:dyDescent="0.3">
      <c r="A17" s="79"/>
      <c r="B17" s="7" t="s">
        <v>47</v>
      </c>
      <c r="C17" s="7"/>
      <c r="D17" s="43">
        <v>2800</v>
      </c>
      <c r="E17" s="43"/>
      <c r="G17" s="43">
        <v>3086</v>
      </c>
      <c r="H17" s="43">
        <v>2075</v>
      </c>
      <c r="J17" s="43">
        <f t="shared" si="0"/>
        <v>286</v>
      </c>
      <c r="K17" s="43"/>
      <c r="P17" s="37" t="s">
        <v>96</v>
      </c>
      <c r="Q17" s="37">
        <v>41</v>
      </c>
      <c r="R17" s="37">
        <v>41</v>
      </c>
    </row>
    <row r="18" spans="1:18" x14ac:dyDescent="0.3">
      <c r="A18" s="79"/>
      <c r="B18" s="7" t="s">
        <v>48</v>
      </c>
      <c r="C18" s="7"/>
      <c r="D18" s="43">
        <v>1696</v>
      </c>
      <c r="E18" s="43"/>
      <c r="G18" s="43">
        <v>1210</v>
      </c>
      <c r="H18" s="43">
        <v>5364</v>
      </c>
      <c r="J18" s="43">
        <f t="shared" si="0"/>
        <v>-486</v>
      </c>
      <c r="K18" s="43"/>
      <c r="P18" s="37" t="s">
        <v>32</v>
      </c>
    </row>
    <row r="19" spans="1:18" x14ac:dyDescent="0.3">
      <c r="A19" s="79"/>
      <c r="B19" s="7" t="s">
        <v>49</v>
      </c>
      <c r="C19" s="7"/>
      <c r="D19" s="43">
        <v>4723</v>
      </c>
      <c r="E19" s="44"/>
      <c r="G19" s="43">
        <v>4449</v>
      </c>
      <c r="H19" s="44">
        <f>SUM(H17:H18)</f>
        <v>7439</v>
      </c>
      <c r="J19" s="43">
        <f t="shared" si="0"/>
        <v>-274</v>
      </c>
      <c r="K19" s="44"/>
      <c r="P19" s="37" t="s">
        <v>32</v>
      </c>
    </row>
    <row r="20" spans="1:18" x14ac:dyDescent="0.3">
      <c r="A20" s="80"/>
      <c r="B20" s="7" t="s">
        <v>50</v>
      </c>
      <c r="C20" s="7"/>
      <c r="D20" s="43">
        <v>2619</v>
      </c>
      <c r="E20" s="45"/>
      <c r="G20" s="43">
        <f>2412</f>
        <v>2412</v>
      </c>
      <c r="H20" s="45">
        <v>2529</v>
      </c>
      <c r="J20" s="43">
        <f t="shared" si="0"/>
        <v>-207</v>
      </c>
      <c r="K20" s="45"/>
      <c r="P20" s="37" t="s">
        <v>32</v>
      </c>
    </row>
    <row r="21" spans="1:18" x14ac:dyDescent="0.3">
      <c r="A21" s="41"/>
      <c r="B21" s="7"/>
      <c r="C21" s="7"/>
      <c r="D21" s="43"/>
      <c r="E21" s="43"/>
      <c r="G21" s="43"/>
      <c r="H21" s="43"/>
      <c r="J21" s="43"/>
      <c r="K21" s="43"/>
    </row>
    <row r="22" spans="1:18" x14ac:dyDescent="0.3">
      <c r="A22" s="41"/>
      <c r="B22" s="7" t="s">
        <v>52</v>
      </c>
      <c r="C22" s="7" t="s">
        <v>30</v>
      </c>
      <c r="D22" s="43">
        <v>18641</v>
      </c>
      <c r="E22" s="43"/>
      <c r="G22" s="43">
        <f>11727+10340</f>
        <v>22067</v>
      </c>
      <c r="H22" s="43">
        <f>10958+10414</f>
        <v>21372</v>
      </c>
      <c r="J22" s="43">
        <f t="shared" si="0"/>
        <v>3426</v>
      </c>
      <c r="K22" s="43"/>
    </row>
    <row r="23" spans="1:18" x14ac:dyDescent="0.3">
      <c r="A23" s="41"/>
      <c r="B23" s="7"/>
      <c r="C23" s="7"/>
      <c r="D23" s="43"/>
      <c r="E23" s="43"/>
      <c r="G23" s="43"/>
      <c r="H23" s="43"/>
      <c r="J23" s="43"/>
      <c r="K23" s="43"/>
    </row>
    <row r="24" spans="1:18" x14ac:dyDescent="0.3">
      <c r="A24" s="41"/>
      <c r="B24" s="39" t="s">
        <v>53</v>
      </c>
      <c r="C24" s="11" t="s">
        <v>6</v>
      </c>
      <c r="D24" s="40" t="s">
        <v>8</v>
      </c>
      <c r="E24" s="40" t="s">
        <v>9</v>
      </c>
      <c r="G24" s="40" t="s">
        <v>8</v>
      </c>
      <c r="H24" s="40" t="s">
        <v>9</v>
      </c>
      <c r="J24" s="40" t="s">
        <v>8</v>
      </c>
      <c r="K24" s="40" t="s">
        <v>9</v>
      </c>
    </row>
    <row r="25" spans="1:18" x14ac:dyDescent="0.3">
      <c r="A25" s="41"/>
      <c r="B25" s="7" t="s">
        <v>49</v>
      </c>
      <c r="C25" s="7"/>
      <c r="D25" s="43"/>
      <c r="E25" s="43"/>
      <c r="G25" s="43">
        <f>G19</f>
        <v>4449</v>
      </c>
      <c r="H25" s="43">
        <f t="shared" ref="H25" si="1">H19</f>
        <v>7439</v>
      </c>
      <c r="J25" s="43"/>
      <c r="K25" s="43"/>
    </row>
    <row r="26" spans="1:18" x14ac:dyDescent="0.3">
      <c r="A26" s="41"/>
      <c r="B26" s="7" t="str">
        <f>B16</f>
        <v>A2B: Te Irirangi</v>
      </c>
      <c r="C26" s="7">
        <f t="shared" ref="C26" si="2">C16</f>
        <v>0</v>
      </c>
      <c r="D26" s="43"/>
      <c r="E26" s="43"/>
      <c r="G26" s="43">
        <f t="shared" ref="G26:H26" si="3">G16</f>
        <v>1836</v>
      </c>
      <c r="H26" s="43">
        <f t="shared" si="3"/>
        <v>3190</v>
      </c>
      <c r="J26" s="43"/>
      <c r="K26" s="43"/>
    </row>
    <row r="27" spans="1:18" x14ac:dyDescent="0.3">
      <c r="A27" s="41"/>
      <c r="B27" s="7" t="str">
        <f>B13</f>
        <v>UH: Constellation</v>
      </c>
      <c r="C27" s="7" t="str">
        <f t="shared" ref="C27" si="4">C13</f>
        <v>Cross-harbour</v>
      </c>
      <c r="D27" s="7"/>
      <c r="E27" s="7"/>
      <c r="G27" s="7">
        <f t="shared" ref="G27:H27" si="5">G13</f>
        <v>1803</v>
      </c>
      <c r="H27" s="7">
        <f t="shared" si="5"/>
        <v>8756</v>
      </c>
      <c r="J27" s="7"/>
      <c r="K27" s="7"/>
    </row>
    <row r="28" spans="1:18" x14ac:dyDescent="0.3">
      <c r="A28" s="41"/>
      <c r="B28" s="7"/>
      <c r="C28" s="7"/>
      <c r="D28" s="43"/>
      <c r="E28" s="43"/>
      <c r="G28" s="43"/>
      <c r="H28" s="43"/>
      <c r="J28" s="43"/>
      <c r="K28" s="43"/>
    </row>
    <row r="29" spans="1:18" x14ac:dyDescent="0.3">
      <c r="A29" s="41"/>
      <c r="B29" s="7" t="s">
        <v>55</v>
      </c>
      <c r="C29" s="7" t="s">
        <v>56</v>
      </c>
      <c r="D29" s="43"/>
      <c r="E29" s="43"/>
      <c r="G29" s="43">
        <v>2800</v>
      </c>
      <c r="H29" s="43">
        <v>2323</v>
      </c>
      <c r="J29" s="43"/>
      <c r="K29" s="43"/>
    </row>
    <row r="30" spans="1:18" x14ac:dyDescent="0.3">
      <c r="A30" s="41"/>
      <c r="B30" s="7" t="s">
        <v>57</v>
      </c>
      <c r="C30" s="7" t="s">
        <v>56</v>
      </c>
      <c r="D30" s="43"/>
      <c r="E30" s="43"/>
      <c r="G30" s="43">
        <v>2600</v>
      </c>
      <c r="H30" s="43">
        <v>1853</v>
      </c>
      <c r="J30" s="43"/>
      <c r="K30" s="43"/>
    </row>
    <row r="31" spans="1:18" x14ac:dyDescent="0.3">
      <c r="A31" s="41"/>
      <c r="B31" s="7" t="s">
        <v>58</v>
      </c>
      <c r="C31" s="7" t="s">
        <v>59</v>
      </c>
      <c r="D31" s="43"/>
      <c r="E31" s="43"/>
      <c r="G31" s="43">
        <v>2861</v>
      </c>
      <c r="H31" s="43">
        <v>2117</v>
      </c>
      <c r="J31" s="43"/>
      <c r="K31" s="43"/>
    </row>
    <row r="32" spans="1:18" x14ac:dyDescent="0.3">
      <c r="A32" s="41"/>
      <c r="B32" s="7" t="s">
        <v>60</v>
      </c>
      <c r="C32" s="7" t="s">
        <v>59</v>
      </c>
      <c r="D32" s="43"/>
      <c r="E32" s="43"/>
      <c r="G32" s="43">
        <v>2370</v>
      </c>
      <c r="H32" s="43">
        <v>2613</v>
      </c>
      <c r="J32" s="43"/>
      <c r="K32" s="43"/>
    </row>
    <row r="33" spans="1:11" x14ac:dyDescent="0.3">
      <c r="A33" s="41"/>
      <c r="B33" s="7" t="s">
        <v>62</v>
      </c>
      <c r="C33" s="7" t="s">
        <v>59</v>
      </c>
      <c r="D33" s="43"/>
      <c r="E33" s="43"/>
      <c r="G33" s="43">
        <v>2329</v>
      </c>
      <c r="H33" s="43">
        <v>2741</v>
      </c>
      <c r="J33" s="43"/>
      <c r="K33" s="43"/>
    </row>
    <row r="34" spans="1:11" x14ac:dyDescent="0.3">
      <c r="A34" s="41"/>
      <c r="B34" s="7" t="s">
        <v>63</v>
      </c>
      <c r="C34" s="7" t="s">
        <v>64</v>
      </c>
      <c r="D34" s="43"/>
      <c r="E34" s="43"/>
      <c r="G34" s="43">
        <v>2418</v>
      </c>
      <c r="H34" s="43">
        <v>1652</v>
      </c>
      <c r="J34" s="43"/>
      <c r="K34" s="43"/>
    </row>
    <row r="35" spans="1:11" x14ac:dyDescent="0.3">
      <c r="A35" s="41"/>
      <c r="B35" s="7" t="s">
        <v>66</v>
      </c>
      <c r="C35" s="7"/>
      <c r="D35" s="43"/>
      <c r="E35" s="43"/>
      <c r="G35" s="43" t="s">
        <v>68</v>
      </c>
      <c r="H35" s="43">
        <v>11124</v>
      </c>
      <c r="J35" s="43"/>
      <c r="K35" s="43"/>
    </row>
    <row r="36" spans="1:11" x14ac:dyDescent="0.3">
      <c r="A36" s="41"/>
      <c r="B36" s="7" t="s">
        <v>69</v>
      </c>
      <c r="C36" s="7"/>
      <c r="D36" s="43"/>
      <c r="E36" s="43"/>
      <c r="G36" s="43" t="s">
        <v>68</v>
      </c>
      <c r="H36" s="43">
        <v>3348</v>
      </c>
      <c r="J36" s="43"/>
      <c r="K36" s="43"/>
    </row>
    <row r="37" spans="1:11" x14ac:dyDescent="0.3">
      <c r="A37" s="41"/>
      <c r="B37" s="7" t="s">
        <v>81</v>
      </c>
      <c r="C37" s="7"/>
      <c r="D37" s="43"/>
      <c r="E37" s="43"/>
      <c r="G37" s="43" t="s">
        <v>68</v>
      </c>
      <c r="H37" s="43" t="s">
        <v>68</v>
      </c>
      <c r="J37" s="43"/>
      <c r="K37" s="43"/>
    </row>
    <row r="38" spans="1:11" x14ac:dyDescent="0.3">
      <c r="A38" s="41"/>
      <c r="B38" s="7" t="s">
        <v>70</v>
      </c>
      <c r="C38" s="7"/>
      <c r="D38" s="43"/>
      <c r="E38" s="43"/>
      <c r="G38" s="43">
        <v>1222</v>
      </c>
      <c r="H38" s="43">
        <v>1684</v>
      </c>
      <c r="J38" s="43"/>
      <c r="K38" s="43"/>
    </row>
    <row r="39" spans="1:11" x14ac:dyDescent="0.3">
      <c r="A39" s="41"/>
      <c r="B39" s="7" t="s">
        <v>71</v>
      </c>
      <c r="C39" s="7"/>
      <c r="D39" s="43"/>
      <c r="E39" s="43"/>
      <c r="G39" s="43">
        <v>1134</v>
      </c>
      <c r="H39" s="43">
        <v>2958</v>
      </c>
      <c r="J39" s="43"/>
      <c r="K39" s="43"/>
    </row>
    <row r="40" spans="1:11" x14ac:dyDescent="0.3">
      <c r="A40" s="41"/>
      <c r="B40" s="7" t="s">
        <v>72</v>
      </c>
      <c r="C40" s="7"/>
      <c r="D40" s="43"/>
      <c r="E40" s="43"/>
      <c r="G40" s="43" t="s">
        <v>68</v>
      </c>
      <c r="H40" s="43">
        <v>3374</v>
      </c>
      <c r="J40" s="43"/>
      <c r="K40" s="43"/>
    </row>
    <row r="41" spans="1:11" x14ac:dyDescent="0.3">
      <c r="A41" s="41"/>
      <c r="B41" s="7" t="s">
        <v>48</v>
      </c>
      <c r="C41" s="7"/>
      <c r="D41" s="43"/>
      <c r="E41" s="43"/>
      <c r="G41" s="43">
        <v>1210</v>
      </c>
      <c r="H41" s="43">
        <v>5364</v>
      </c>
      <c r="J41" s="43"/>
      <c r="K41" s="43"/>
    </row>
    <row r="42" spans="1:11" x14ac:dyDescent="0.3">
      <c r="A42" s="41"/>
      <c r="B42" s="7" t="s">
        <v>73</v>
      </c>
      <c r="C42" s="7" t="s">
        <v>74</v>
      </c>
      <c r="D42" s="43"/>
      <c r="E42" s="43"/>
      <c r="G42" s="43">
        <v>4203</v>
      </c>
      <c r="H42" s="43">
        <v>1317</v>
      </c>
      <c r="J42" s="43"/>
      <c r="K42" s="43"/>
    </row>
    <row r="43" spans="1:11" x14ac:dyDescent="0.3">
      <c r="A43" s="41"/>
      <c r="B43" s="7" t="s">
        <v>76</v>
      </c>
      <c r="C43" s="7" t="s">
        <v>77</v>
      </c>
      <c r="D43" s="43"/>
      <c r="E43" s="43"/>
      <c r="G43" s="43">
        <v>1022</v>
      </c>
      <c r="H43" s="43">
        <v>1068</v>
      </c>
      <c r="J43" s="43"/>
      <c r="K43" s="43"/>
    </row>
    <row r="44" spans="1:11" x14ac:dyDescent="0.3">
      <c r="A44" s="41"/>
      <c r="B44" s="7" t="s">
        <v>79</v>
      </c>
      <c r="C44" s="7" t="s">
        <v>77</v>
      </c>
      <c r="D44" s="43"/>
      <c r="E44" s="43"/>
      <c r="G44" s="43">
        <v>2777</v>
      </c>
      <c r="H44" s="43">
        <v>1453</v>
      </c>
      <c r="J44" s="43"/>
      <c r="K44" s="43"/>
    </row>
  </sheetData>
  <mergeCells count="5">
    <mergeCell ref="A3:A5"/>
    <mergeCell ref="A7:A10"/>
    <mergeCell ref="A12:A20"/>
    <mergeCell ref="N1:O1"/>
    <mergeCell ref="Q1:R1"/>
  </mergeCells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F5DA-9E6C-431F-BB2A-D85AA79FBF11}">
  <dimension ref="A1:L64"/>
  <sheetViews>
    <sheetView workbookViewId="0">
      <selection activeCell="T28" sqref="T28"/>
    </sheetView>
  </sheetViews>
  <sheetFormatPr defaultColWidth="9.1796875" defaultRowHeight="13" x14ac:dyDescent="0.3"/>
  <cols>
    <col min="1" max="1" width="11.7265625" style="37" bestFit="1" customWidth="1"/>
    <col min="2" max="3" width="16.7265625" style="37" customWidth="1"/>
    <col min="4" max="4" width="9.1796875" style="37" customWidth="1"/>
    <col min="5" max="5" width="18.1796875" style="37" bestFit="1" customWidth="1"/>
    <col min="6" max="7" width="13.81640625" style="37" customWidth="1"/>
    <col min="8" max="8" width="9.1796875" style="37" customWidth="1"/>
    <col min="9" max="9" width="9.1796875" style="37"/>
    <col min="10" max="10" width="16.26953125" style="37" bestFit="1" customWidth="1"/>
    <col min="11" max="16384" width="9.1796875" style="37"/>
  </cols>
  <sheetData>
    <row r="1" spans="1:12" x14ac:dyDescent="0.3">
      <c r="A1" s="83" t="s">
        <v>327</v>
      </c>
      <c r="B1" s="83"/>
      <c r="C1" s="83"/>
      <c r="D1" s="47"/>
      <c r="E1" s="83" t="s">
        <v>328</v>
      </c>
      <c r="F1" s="83"/>
      <c r="G1" s="83"/>
      <c r="H1" s="49"/>
    </row>
    <row r="2" spans="1:12" x14ac:dyDescent="0.3">
      <c r="A2" s="48" t="s">
        <v>329</v>
      </c>
      <c r="B2" s="48"/>
      <c r="C2" s="48"/>
      <c r="D2" s="48"/>
      <c r="E2" s="48"/>
      <c r="F2" s="48"/>
      <c r="G2" s="49"/>
      <c r="H2" s="49"/>
    </row>
    <row r="3" spans="1:12" x14ac:dyDescent="0.3">
      <c r="A3" s="48"/>
      <c r="B3" s="82" t="s">
        <v>330</v>
      </c>
      <c r="C3" s="82"/>
      <c r="D3" s="50"/>
      <c r="E3" s="48"/>
      <c r="F3" s="82" t="s">
        <v>331</v>
      </c>
      <c r="G3" s="82"/>
      <c r="H3" s="49"/>
    </row>
    <row r="4" spans="1:12" x14ac:dyDescent="0.3">
      <c r="A4" s="48"/>
      <c r="B4" s="50" t="s">
        <v>332</v>
      </c>
      <c r="C4" s="50" t="s">
        <v>333</v>
      </c>
      <c r="D4" s="50"/>
      <c r="E4" s="48"/>
      <c r="F4" s="50" t="s">
        <v>332</v>
      </c>
      <c r="G4" s="50" t="s">
        <v>333</v>
      </c>
      <c r="H4" s="49"/>
      <c r="J4" s="37" t="s">
        <v>0</v>
      </c>
      <c r="K4" s="37" t="s">
        <v>334</v>
      </c>
      <c r="L4" s="37" t="s">
        <v>335</v>
      </c>
    </row>
    <row r="5" spans="1:12" x14ac:dyDescent="0.3">
      <c r="A5" s="48" t="s">
        <v>336</v>
      </c>
      <c r="B5" s="48">
        <v>9615</v>
      </c>
      <c r="C5" s="48">
        <v>-6</v>
      </c>
      <c r="D5" s="48"/>
      <c r="E5" s="48" t="s">
        <v>337</v>
      </c>
      <c r="F5" s="48">
        <v>1430</v>
      </c>
      <c r="G5" s="48">
        <v>173</v>
      </c>
      <c r="H5" s="49"/>
      <c r="J5" s="37" t="s">
        <v>338</v>
      </c>
      <c r="K5" s="37">
        <v>2585</v>
      </c>
      <c r="L5" s="37">
        <f>0.6*K5</f>
        <v>1551</v>
      </c>
    </row>
    <row r="6" spans="1:12" x14ac:dyDescent="0.3">
      <c r="A6" s="49" t="s">
        <v>339</v>
      </c>
      <c r="B6" s="48">
        <v>3087</v>
      </c>
      <c r="C6" s="48">
        <v>-6</v>
      </c>
      <c r="D6" s="48"/>
      <c r="E6" s="48" t="s">
        <v>340</v>
      </c>
      <c r="F6" s="48">
        <v>401</v>
      </c>
      <c r="G6" s="48">
        <v>299</v>
      </c>
      <c r="H6" s="49"/>
      <c r="J6" s="37" t="s">
        <v>341</v>
      </c>
      <c r="K6" s="37">
        <v>5320</v>
      </c>
      <c r="L6" s="37">
        <f>0.6*K6</f>
        <v>3192</v>
      </c>
    </row>
    <row r="7" spans="1:12" x14ac:dyDescent="0.3">
      <c r="A7" s="48" t="s">
        <v>23</v>
      </c>
      <c r="B7" s="48">
        <v>2412</v>
      </c>
      <c r="C7" s="48">
        <v>-39</v>
      </c>
      <c r="D7" s="48"/>
      <c r="E7" s="48" t="s">
        <v>117</v>
      </c>
      <c r="F7" s="48">
        <v>2266</v>
      </c>
      <c r="G7" s="48">
        <v>1934</v>
      </c>
      <c r="H7" s="49"/>
      <c r="J7" s="37" t="s">
        <v>342</v>
      </c>
      <c r="K7" s="37">
        <f>K6-K5</f>
        <v>2735</v>
      </c>
      <c r="L7" s="37">
        <f>L6-L5</f>
        <v>1641</v>
      </c>
    </row>
    <row r="8" spans="1:12" x14ac:dyDescent="0.3">
      <c r="A8" s="61" t="s">
        <v>116</v>
      </c>
      <c r="B8" s="61">
        <v>0</v>
      </c>
      <c r="C8" s="61">
        <v>-6</v>
      </c>
      <c r="D8" s="48"/>
      <c r="E8" s="48"/>
      <c r="F8" s="48"/>
      <c r="G8" s="48"/>
      <c r="H8" s="49"/>
    </row>
    <row r="9" spans="1:12" x14ac:dyDescent="0.3">
      <c r="A9" s="61" t="s">
        <v>343</v>
      </c>
      <c r="B9" s="61">
        <v>984</v>
      </c>
      <c r="C9" s="61">
        <v>0</v>
      </c>
      <c r="D9" s="49"/>
      <c r="E9" s="51" t="s">
        <v>344</v>
      </c>
      <c r="F9" s="52">
        <f>SUM(F5:F8)</f>
        <v>4097</v>
      </c>
      <c r="G9" s="52">
        <f>SUM(G5:G8)</f>
        <v>2406</v>
      </c>
      <c r="H9" s="49"/>
    </row>
    <row r="10" spans="1:12" x14ac:dyDescent="0.3">
      <c r="A10" s="61" t="s">
        <v>117</v>
      </c>
      <c r="B10" s="61">
        <v>291</v>
      </c>
      <c r="C10" s="61">
        <v>-18</v>
      </c>
      <c r="D10" s="49"/>
      <c r="E10" s="49"/>
      <c r="F10" s="49"/>
      <c r="G10" s="49"/>
      <c r="H10" s="49"/>
    </row>
    <row r="11" spans="1:12" x14ac:dyDescent="0.3">
      <c r="A11" s="49"/>
      <c r="B11" s="49"/>
      <c r="C11" s="49"/>
      <c r="D11" s="49"/>
      <c r="E11" s="48"/>
      <c r="F11" s="82" t="s">
        <v>128</v>
      </c>
      <c r="G11" s="82"/>
      <c r="H11" s="49"/>
    </row>
    <row r="12" spans="1:12" x14ac:dyDescent="0.3">
      <c r="A12" s="49"/>
      <c r="B12" s="49"/>
      <c r="C12" s="49"/>
      <c r="D12" s="49"/>
      <c r="E12" s="48"/>
      <c r="F12" s="50" t="s">
        <v>332</v>
      </c>
      <c r="G12" s="50" t="s">
        <v>333</v>
      </c>
      <c r="H12" s="49"/>
    </row>
    <row r="13" spans="1:12" x14ac:dyDescent="0.3">
      <c r="A13" s="51" t="s">
        <v>344</v>
      </c>
      <c r="B13" s="52">
        <f>SUM(B5:B7)</f>
        <v>15114</v>
      </c>
      <c r="C13" s="52">
        <f>SUM(C5:C7)</f>
        <v>-51</v>
      </c>
      <c r="D13" s="52"/>
      <c r="E13" s="48" t="s">
        <v>337</v>
      </c>
      <c r="F13" s="48">
        <v>1468</v>
      </c>
      <c r="G13" s="48">
        <v>252</v>
      </c>
      <c r="H13" s="49"/>
    </row>
    <row r="14" spans="1:12" x14ac:dyDescent="0.3">
      <c r="A14" s="49"/>
      <c r="B14" s="49"/>
      <c r="C14" s="49"/>
      <c r="D14" s="49"/>
      <c r="E14" s="48" t="s">
        <v>340</v>
      </c>
      <c r="F14" s="48">
        <v>390</v>
      </c>
      <c r="G14" s="48">
        <v>464</v>
      </c>
      <c r="H14" s="49"/>
    </row>
    <row r="15" spans="1:12" x14ac:dyDescent="0.3">
      <c r="A15" s="83" t="s">
        <v>345</v>
      </c>
      <c r="B15" s="83"/>
      <c r="C15" s="83"/>
      <c r="D15" s="49"/>
      <c r="E15" s="48" t="s">
        <v>117</v>
      </c>
      <c r="F15" s="48">
        <v>4650</v>
      </c>
      <c r="G15" s="48">
        <v>5053</v>
      </c>
      <c r="H15" s="49"/>
    </row>
    <row r="16" spans="1:12" x14ac:dyDescent="0.3">
      <c r="A16" s="48" t="s">
        <v>329</v>
      </c>
      <c r="B16" s="48"/>
      <c r="C16" s="48"/>
      <c r="D16" s="49"/>
      <c r="E16" s="48"/>
      <c r="F16" s="48"/>
      <c r="G16" s="48"/>
      <c r="H16" s="49"/>
    </row>
    <row r="17" spans="1:11" x14ac:dyDescent="0.3">
      <c r="A17" s="48"/>
      <c r="B17" s="82" t="s">
        <v>330</v>
      </c>
      <c r="C17" s="82"/>
      <c r="D17" s="49"/>
      <c r="E17" s="51" t="s">
        <v>344</v>
      </c>
      <c r="F17" s="52">
        <f>SUM(F13:F16)</f>
        <v>6508</v>
      </c>
      <c r="G17" s="52">
        <f>SUM(G13:G16)</f>
        <v>5769</v>
      </c>
      <c r="H17" s="49"/>
    </row>
    <row r="18" spans="1:11" ht="14.25" customHeight="1" x14ac:dyDescent="0.3">
      <c r="A18" s="48"/>
      <c r="B18" s="50" t="s">
        <v>332</v>
      </c>
      <c r="C18" s="50" t="s">
        <v>333</v>
      </c>
      <c r="D18" s="49"/>
      <c r="E18" s="49"/>
      <c r="F18" s="49"/>
      <c r="G18" s="49"/>
      <c r="H18" s="49"/>
    </row>
    <row r="19" spans="1:11" x14ac:dyDescent="0.3">
      <c r="A19" s="48" t="s">
        <v>346</v>
      </c>
      <c r="B19" s="48">
        <v>4484</v>
      </c>
      <c r="C19" s="48">
        <v>-493</v>
      </c>
      <c r="D19" s="49"/>
      <c r="E19" s="48"/>
      <c r="F19" s="82" t="s">
        <v>127</v>
      </c>
      <c r="G19" s="82"/>
      <c r="H19" s="49"/>
    </row>
    <row r="20" spans="1:11" x14ac:dyDescent="0.3">
      <c r="A20" s="48" t="s">
        <v>23</v>
      </c>
      <c r="B20" s="48">
        <v>1624</v>
      </c>
      <c r="C20" s="48">
        <v>-1075</v>
      </c>
      <c r="D20" s="49"/>
      <c r="E20" s="48"/>
      <c r="F20" s="50" t="s">
        <v>332</v>
      </c>
      <c r="G20" s="50" t="s">
        <v>333</v>
      </c>
      <c r="H20" s="49"/>
    </row>
    <row r="21" spans="1:11" x14ac:dyDescent="0.3">
      <c r="A21" s="61" t="s">
        <v>116</v>
      </c>
      <c r="B21" s="61">
        <v>60.92</v>
      </c>
      <c r="C21" s="61">
        <v>155</v>
      </c>
      <c r="D21" s="49"/>
      <c r="E21" s="48" t="s">
        <v>337</v>
      </c>
      <c r="F21" s="48">
        <v>1955</v>
      </c>
      <c r="G21" s="48">
        <v>246</v>
      </c>
      <c r="H21" s="49"/>
      <c r="J21" s="37" t="s">
        <v>19</v>
      </c>
      <c r="K21" s="37" t="s">
        <v>106</v>
      </c>
    </row>
    <row r="22" spans="1:11" x14ac:dyDescent="0.3">
      <c r="A22" s="61" t="s">
        <v>343</v>
      </c>
      <c r="B22" s="61">
        <v>348</v>
      </c>
      <c r="C22" s="61">
        <v>372</v>
      </c>
      <c r="D22" s="49"/>
      <c r="E22" s="48" t="s">
        <v>340</v>
      </c>
      <c r="F22" s="48">
        <v>523</v>
      </c>
      <c r="G22" s="48">
        <v>350</v>
      </c>
      <c r="H22" s="49"/>
      <c r="K22" s="37" t="s">
        <v>23</v>
      </c>
    </row>
    <row r="23" spans="1:11" x14ac:dyDescent="0.3">
      <c r="A23" s="61" t="s">
        <v>117</v>
      </c>
      <c r="B23" s="61">
        <v>581</v>
      </c>
      <c r="C23" s="61">
        <v>477</v>
      </c>
      <c r="D23" s="49"/>
      <c r="E23" s="48" t="s">
        <v>117</v>
      </c>
      <c r="F23" s="48">
        <v>6021</v>
      </c>
      <c r="G23" s="48">
        <v>4115</v>
      </c>
      <c r="H23" s="49"/>
      <c r="K23" s="37" t="s">
        <v>26</v>
      </c>
    </row>
    <row r="24" spans="1:11" x14ac:dyDescent="0.3">
      <c r="A24" s="49"/>
      <c r="B24" s="49"/>
      <c r="C24" s="49"/>
      <c r="D24" s="49"/>
      <c r="E24" s="48"/>
      <c r="F24" s="48"/>
      <c r="G24" s="48"/>
      <c r="H24" s="49"/>
      <c r="J24" s="37" t="s">
        <v>97</v>
      </c>
      <c r="K24" s="37" t="s">
        <v>107</v>
      </c>
    </row>
    <row r="25" spans="1:11" x14ac:dyDescent="0.3">
      <c r="A25" s="49"/>
      <c r="B25" s="49"/>
      <c r="C25" s="49"/>
      <c r="D25" s="49"/>
      <c r="E25" s="51" t="s">
        <v>344</v>
      </c>
      <c r="F25" s="52">
        <f>SUM(F21:F24)</f>
        <v>8499</v>
      </c>
      <c r="G25" s="52">
        <f>SUM(G21:G24)</f>
        <v>4711</v>
      </c>
      <c r="H25" s="49"/>
      <c r="K25" s="37" t="s">
        <v>108</v>
      </c>
    </row>
    <row r="26" spans="1:11" x14ac:dyDescent="0.3">
      <c r="A26" s="49"/>
      <c r="B26" s="49"/>
      <c r="C26" s="49"/>
      <c r="D26" s="49"/>
      <c r="E26" s="49"/>
      <c r="F26" s="49"/>
      <c r="G26" s="49"/>
      <c r="H26" s="49"/>
      <c r="K26" s="37" t="s">
        <v>109</v>
      </c>
    </row>
    <row r="27" spans="1:11" x14ac:dyDescent="0.3">
      <c r="A27" s="51" t="s">
        <v>344</v>
      </c>
      <c r="B27" s="52">
        <f>SUM(B19:B20)</f>
        <v>6108</v>
      </c>
      <c r="C27" s="52">
        <f>SUM(C19:C20)</f>
        <v>-1568</v>
      </c>
      <c r="D27" s="49"/>
      <c r="E27" s="49"/>
      <c r="F27" s="49"/>
      <c r="G27" s="49"/>
      <c r="H27" s="49"/>
      <c r="K27" s="37" t="s">
        <v>35</v>
      </c>
    </row>
    <row r="28" spans="1:11" x14ac:dyDescent="0.3">
      <c r="J28" s="37" t="s">
        <v>36</v>
      </c>
      <c r="K28" s="37" t="s">
        <v>37</v>
      </c>
    </row>
    <row r="29" spans="1:11" x14ac:dyDescent="0.3">
      <c r="K29" s="37" t="s">
        <v>110</v>
      </c>
    </row>
    <row r="30" spans="1:11" x14ac:dyDescent="0.3">
      <c r="K30" s="37" t="s">
        <v>111</v>
      </c>
    </row>
    <row r="31" spans="1:11" x14ac:dyDescent="0.3">
      <c r="K31" s="37" t="s">
        <v>112</v>
      </c>
    </row>
    <row r="32" spans="1:11" x14ac:dyDescent="0.3">
      <c r="K32" s="37" t="s">
        <v>113</v>
      </c>
    </row>
    <row r="35" spans="10:11" x14ac:dyDescent="0.3">
      <c r="J35" s="37" t="s">
        <v>98</v>
      </c>
      <c r="K35" s="37" t="s">
        <v>55</v>
      </c>
    </row>
    <row r="36" spans="10:11" x14ac:dyDescent="0.3">
      <c r="K36" s="37" t="s">
        <v>57</v>
      </c>
    </row>
    <row r="37" spans="10:11" x14ac:dyDescent="0.3">
      <c r="K37" s="37" t="s">
        <v>58</v>
      </c>
    </row>
    <row r="38" spans="10:11" x14ac:dyDescent="0.3">
      <c r="K38" s="37" t="s">
        <v>63</v>
      </c>
    </row>
    <row r="39" spans="10:11" x14ac:dyDescent="0.3">
      <c r="K39" s="37" t="s">
        <v>114</v>
      </c>
    </row>
    <row r="40" spans="10:11" x14ac:dyDescent="0.3">
      <c r="K40" s="37" t="s">
        <v>62</v>
      </c>
    </row>
    <row r="41" spans="10:11" x14ac:dyDescent="0.3">
      <c r="J41" s="37" t="s">
        <v>99</v>
      </c>
      <c r="K41" s="37" t="s">
        <v>76</v>
      </c>
    </row>
    <row r="42" spans="10:11" x14ac:dyDescent="0.3">
      <c r="K42" s="37" t="s">
        <v>79</v>
      </c>
    </row>
    <row r="43" spans="10:11" x14ac:dyDescent="0.3">
      <c r="J43" s="37" t="s">
        <v>100</v>
      </c>
      <c r="K43" s="37" t="s">
        <v>66</v>
      </c>
    </row>
    <row r="44" spans="10:11" x14ac:dyDescent="0.3">
      <c r="K44" s="37" t="s">
        <v>69</v>
      </c>
    </row>
    <row r="45" spans="10:11" x14ac:dyDescent="0.3">
      <c r="K45" s="37" t="s">
        <v>115</v>
      </c>
    </row>
    <row r="46" spans="10:11" x14ac:dyDescent="0.3">
      <c r="K46" s="37" t="s">
        <v>81</v>
      </c>
    </row>
    <row r="47" spans="10:11" x14ac:dyDescent="0.3">
      <c r="K47" s="37" t="s">
        <v>72</v>
      </c>
    </row>
    <row r="50" spans="10:11" x14ac:dyDescent="0.3">
      <c r="J50" s="37" t="s">
        <v>101</v>
      </c>
      <c r="K50" s="37" t="s">
        <v>116</v>
      </c>
    </row>
    <row r="51" spans="10:11" x14ac:dyDescent="0.3">
      <c r="K51" s="37" t="s">
        <v>117</v>
      </c>
    </row>
    <row r="52" spans="10:11" x14ac:dyDescent="0.3">
      <c r="J52" s="37" t="s">
        <v>102</v>
      </c>
      <c r="K52" s="37" t="s">
        <v>118</v>
      </c>
    </row>
    <row r="53" spans="10:11" x14ac:dyDescent="0.3">
      <c r="K53" s="37" t="s">
        <v>119</v>
      </c>
    </row>
    <row r="54" spans="10:11" x14ac:dyDescent="0.3">
      <c r="J54" s="37" t="s">
        <v>103</v>
      </c>
      <c r="K54" s="37" t="s">
        <v>120</v>
      </c>
    </row>
    <row r="55" spans="10:11" x14ac:dyDescent="0.3">
      <c r="K55" s="37" t="s">
        <v>121</v>
      </c>
    </row>
    <row r="56" spans="10:11" x14ac:dyDescent="0.3">
      <c r="K56" s="37" t="s">
        <v>122</v>
      </c>
    </row>
    <row r="57" spans="10:11" x14ac:dyDescent="0.3">
      <c r="J57" s="37" t="s">
        <v>104</v>
      </c>
      <c r="K57" s="37" t="s">
        <v>123</v>
      </c>
    </row>
    <row r="58" spans="10:11" x14ac:dyDescent="0.3">
      <c r="K58" s="37" t="s">
        <v>124</v>
      </c>
    </row>
    <row r="59" spans="10:11" x14ac:dyDescent="0.3">
      <c r="K59" s="37" t="s">
        <v>125</v>
      </c>
    </row>
    <row r="60" spans="10:11" x14ac:dyDescent="0.3">
      <c r="K60" s="37" t="s">
        <v>126</v>
      </c>
    </row>
    <row r="61" spans="10:11" x14ac:dyDescent="0.3">
      <c r="J61" s="37" t="s">
        <v>105</v>
      </c>
      <c r="K61" s="37" t="s">
        <v>127</v>
      </c>
    </row>
    <row r="62" spans="10:11" x14ac:dyDescent="0.3">
      <c r="K62" s="37" t="s">
        <v>128</v>
      </c>
    </row>
    <row r="63" spans="10:11" x14ac:dyDescent="0.3">
      <c r="K63" s="37" t="s">
        <v>129</v>
      </c>
    </row>
    <row r="64" spans="10:11" x14ac:dyDescent="0.3">
      <c r="K64" s="37" t="s">
        <v>130</v>
      </c>
    </row>
  </sheetData>
  <mergeCells count="8">
    <mergeCell ref="F11:G11"/>
    <mergeCell ref="A15:C15"/>
    <mergeCell ref="B17:C17"/>
    <mergeCell ref="F19:G19"/>
    <mergeCell ref="A1:C1"/>
    <mergeCell ref="E1:G1"/>
    <mergeCell ref="B3:C3"/>
    <mergeCell ref="F3:G3"/>
  </mergeCells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E68B-432C-4EED-8948-C076280DE57D}">
  <dimension ref="A1:O52"/>
  <sheetViews>
    <sheetView topLeftCell="B1" zoomScaleNormal="100" workbookViewId="0">
      <selection activeCell="C34" sqref="C34"/>
    </sheetView>
  </sheetViews>
  <sheetFormatPr defaultColWidth="9.1796875" defaultRowHeight="13" x14ac:dyDescent="0.3"/>
  <cols>
    <col min="1" max="1" width="11.1796875" style="49" customWidth="1"/>
    <col min="2" max="4" width="16.7265625" style="49" customWidth="1"/>
    <col min="5" max="7" width="21.7265625" style="49" customWidth="1"/>
    <col min="8" max="8" width="9.1796875" style="49"/>
    <col min="9" max="11" width="22.1796875" style="49" customWidth="1"/>
    <col min="12" max="12" width="9.1796875" style="49"/>
    <col min="13" max="13" width="18.26953125" style="49" bestFit="1" customWidth="1"/>
    <col min="14" max="15" width="12.7265625" style="49" customWidth="1"/>
    <col min="16" max="16384" width="9.1796875" style="49"/>
  </cols>
  <sheetData>
    <row r="1" spans="1:15" x14ac:dyDescent="0.3">
      <c r="A1" s="83" t="s">
        <v>327</v>
      </c>
      <c r="B1" s="83"/>
      <c r="C1" s="83"/>
      <c r="D1" s="47"/>
      <c r="E1" s="83" t="s">
        <v>347</v>
      </c>
      <c r="F1" s="83"/>
      <c r="G1" s="83"/>
      <c r="I1" s="83" t="s">
        <v>348</v>
      </c>
      <c r="J1" s="83"/>
      <c r="K1" s="83"/>
      <c r="L1" s="48"/>
      <c r="M1" s="83" t="s">
        <v>349</v>
      </c>
      <c r="N1" s="83"/>
      <c r="O1" s="83"/>
    </row>
    <row r="2" spans="1:15" x14ac:dyDescent="0.3">
      <c r="A2" s="48" t="s">
        <v>329</v>
      </c>
      <c r="B2" s="48"/>
      <c r="C2" s="48"/>
      <c r="D2" s="48"/>
      <c r="E2" s="48"/>
      <c r="F2" s="48"/>
      <c r="I2" s="48"/>
      <c r="J2" s="48"/>
      <c r="K2" s="48"/>
      <c r="L2" s="48"/>
    </row>
    <row r="3" spans="1:15" x14ac:dyDescent="0.3">
      <c r="A3" s="48"/>
      <c r="B3" s="82" t="s">
        <v>330</v>
      </c>
      <c r="C3" s="82"/>
      <c r="D3" s="50"/>
      <c r="E3" s="48"/>
      <c r="F3" s="82" t="s">
        <v>350</v>
      </c>
      <c r="G3" s="82"/>
      <c r="I3" s="48"/>
      <c r="J3" s="82" t="s">
        <v>350</v>
      </c>
      <c r="K3" s="82"/>
      <c r="L3" s="48"/>
      <c r="N3" s="82" t="s">
        <v>351</v>
      </c>
      <c r="O3" s="82"/>
    </row>
    <row r="4" spans="1:15" x14ac:dyDescent="0.3">
      <c r="A4" s="48"/>
      <c r="B4" s="50" t="s">
        <v>332</v>
      </c>
      <c r="C4" s="50" t="s">
        <v>333</v>
      </c>
      <c r="D4" s="50"/>
      <c r="E4" s="48"/>
      <c r="F4" s="50" t="s">
        <v>332</v>
      </c>
      <c r="G4" s="50" t="s">
        <v>333</v>
      </c>
      <c r="I4" s="48"/>
      <c r="J4" s="50" t="s">
        <v>332</v>
      </c>
      <c r="K4" s="50" t="s">
        <v>333</v>
      </c>
      <c r="M4" s="60" t="s">
        <v>352</v>
      </c>
      <c r="N4" s="50" t="s">
        <v>332</v>
      </c>
      <c r="O4" s="50" t="s">
        <v>333</v>
      </c>
    </row>
    <row r="5" spans="1:15" x14ac:dyDescent="0.3">
      <c r="A5" s="48" t="s">
        <v>336</v>
      </c>
      <c r="B5" s="48">
        <v>9615</v>
      </c>
      <c r="C5" s="48">
        <v>-6</v>
      </c>
      <c r="D5" s="48"/>
      <c r="E5" s="48" t="s">
        <v>337</v>
      </c>
      <c r="F5" s="48">
        <v>1981</v>
      </c>
      <c r="G5" s="48">
        <v>-255</v>
      </c>
      <c r="I5" s="48" t="s">
        <v>336</v>
      </c>
      <c r="J5" s="48">
        <v>6024</v>
      </c>
      <c r="K5" s="48">
        <v>-18</v>
      </c>
      <c r="M5" s="48" t="s">
        <v>353</v>
      </c>
      <c r="N5" s="48">
        <v>550</v>
      </c>
      <c r="O5" s="48">
        <v>550</v>
      </c>
    </row>
    <row r="6" spans="1:15" x14ac:dyDescent="0.3">
      <c r="A6" s="49" t="s">
        <v>339</v>
      </c>
      <c r="B6" s="48">
        <v>3087</v>
      </c>
      <c r="C6" s="48">
        <v>-6</v>
      </c>
      <c r="D6" s="48"/>
      <c r="E6" s="48" t="s">
        <v>354</v>
      </c>
      <c r="F6" s="48">
        <v>1215</v>
      </c>
      <c r="G6" s="48">
        <v>-909</v>
      </c>
      <c r="I6" s="49" t="s">
        <v>339</v>
      </c>
      <c r="J6" s="48">
        <v>2166</v>
      </c>
      <c r="K6" s="48">
        <v>-30</v>
      </c>
      <c r="M6" s="49" t="s">
        <v>355</v>
      </c>
      <c r="N6" s="48">
        <v>2007</v>
      </c>
      <c r="O6" s="48">
        <v>2007</v>
      </c>
    </row>
    <row r="7" spans="1:15" x14ac:dyDescent="0.3">
      <c r="A7" s="48" t="s">
        <v>23</v>
      </c>
      <c r="B7" s="48">
        <v>2412</v>
      </c>
      <c r="C7" s="48">
        <v>-39</v>
      </c>
      <c r="D7" s="48"/>
      <c r="E7" s="61" t="s">
        <v>106</v>
      </c>
      <c r="F7" s="61">
        <v>361</v>
      </c>
      <c r="G7" s="61">
        <v>-335</v>
      </c>
      <c r="I7" s="48" t="s">
        <v>354</v>
      </c>
      <c r="J7" s="48">
        <v>5811</v>
      </c>
      <c r="K7" s="48">
        <v>-1974</v>
      </c>
      <c r="M7" s="48" t="s">
        <v>356</v>
      </c>
      <c r="N7" s="48">
        <f>852+395</f>
        <v>1247</v>
      </c>
      <c r="O7" s="48">
        <f>852+395</f>
        <v>1247</v>
      </c>
    </row>
    <row r="8" spans="1:15" x14ac:dyDescent="0.3">
      <c r="A8" s="61" t="s">
        <v>116</v>
      </c>
      <c r="B8" s="61">
        <v>0</v>
      </c>
      <c r="C8" s="61">
        <v>-6</v>
      </c>
      <c r="D8" s="48"/>
      <c r="E8" s="48"/>
      <c r="F8" s="48"/>
      <c r="G8" s="48"/>
      <c r="I8" s="61" t="s">
        <v>106</v>
      </c>
      <c r="J8" s="61">
        <v>1035</v>
      </c>
      <c r="K8" s="61">
        <v>-39</v>
      </c>
      <c r="M8" s="48" t="s">
        <v>357</v>
      </c>
      <c r="N8" s="48">
        <v>633</v>
      </c>
      <c r="O8" s="48">
        <v>633</v>
      </c>
    </row>
    <row r="9" spans="1:15" x14ac:dyDescent="0.3">
      <c r="A9" s="61" t="s">
        <v>343</v>
      </c>
      <c r="B9" s="61">
        <v>984</v>
      </c>
      <c r="C9" s="61">
        <v>0</v>
      </c>
      <c r="E9" s="51" t="s">
        <v>344</v>
      </c>
      <c r="F9" s="52">
        <f>SUM(F5:F6)</f>
        <v>3196</v>
      </c>
      <c r="G9" s="52">
        <f>SUM(G5:G6)</f>
        <v>-1164</v>
      </c>
      <c r="I9" s="51" t="s">
        <v>344</v>
      </c>
      <c r="J9" s="52">
        <f>SUM(J5:J7)</f>
        <v>14001</v>
      </c>
      <c r="K9" s="52">
        <f>SUM(K5:K7)</f>
        <v>-2022</v>
      </c>
      <c r="M9" s="49" t="s">
        <v>358</v>
      </c>
      <c r="N9" s="49">
        <v>242</v>
      </c>
      <c r="O9" s="49">
        <v>242</v>
      </c>
    </row>
    <row r="10" spans="1:15" x14ac:dyDescent="0.3">
      <c r="A10" s="61" t="s">
        <v>117</v>
      </c>
      <c r="B10" s="61">
        <v>291</v>
      </c>
      <c r="C10" s="61">
        <v>-18</v>
      </c>
      <c r="M10" s="49" t="s">
        <v>359</v>
      </c>
      <c r="N10" s="49">
        <v>312</v>
      </c>
      <c r="O10" s="49">
        <v>312</v>
      </c>
    </row>
    <row r="11" spans="1:15" x14ac:dyDescent="0.3">
      <c r="E11" s="48"/>
      <c r="F11" s="82" t="s">
        <v>360</v>
      </c>
      <c r="G11" s="82"/>
      <c r="I11" s="48"/>
      <c r="J11" s="82" t="s">
        <v>360</v>
      </c>
      <c r="K11" s="82"/>
      <c r="M11" s="48"/>
      <c r="N11" s="82"/>
      <c r="O11" s="82"/>
    </row>
    <row r="12" spans="1:15" x14ac:dyDescent="0.3">
      <c r="E12" s="48"/>
      <c r="F12" s="50" t="s">
        <v>332</v>
      </c>
      <c r="G12" s="50" t="s">
        <v>333</v>
      </c>
      <c r="I12" s="48"/>
      <c r="J12" s="50" t="s">
        <v>332</v>
      </c>
      <c r="K12" s="50" t="s">
        <v>333</v>
      </c>
      <c r="M12" s="51" t="s">
        <v>344</v>
      </c>
      <c r="N12" s="52">
        <f>SUM(N5:N10)</f>
        <v>4991</v>
      </c>
      <c r="O12" s="52">
        <f>SUM(O5:O10)</f>
        <v>4991</v>
      </c>
    </row>
    <row r="13" spans="1:15" x14ac:dyDescent="0.3">
      <c r="A13" s="51" t="s">
        <v>344</v>
      </c>
      <c r="B13" s="52">
        <f>SUM(B5:B10)</f>
        <v>16389</v>
      </c>
      <c r="C13" s="52">
        <f>SUM(C5:C10)</f>
        <v>-75</v>
      </c>
      <c r="D13" s="52"/>
      <c r="E13" s="48" t="s">
        <v>337</v>
      </c>
      <c r="F13" s="48">
        <v>4209</v>
      </c>
      <c r="G13" s="48">
        <v>-544</v>
      </c>
      <c r="I13" s="48" t="s">
        <v>336</v>
      </c>
      <c r="J13" s="48">
        <v>9747</v>
      </c>
      <c r="K13" s="48">
        <v>-6</v>
      </c>
      <c r="M13" s="48"/>
      <c r="N13" s="48"/>
      <c r="O13" s="48"/>
    </row>
    <row r="14" spans="1:15" x14ac:dyDescent="0.3">
      <c r="E14" s="48" t="s">
        <v>354</v>
      </c>
      <c r="F14" s="48">
        <v>6717</v>
      </c>
      <c r="G14" s="48">
        <v>-5849</v>
      </c>
      <c r="I14" s="49" t="s">
        <v>339</v>
      </c>
      <c r="J14" s="48">
        <v>3666</v>
      </c>
      <c r="K14" s="48">
        <v>-6</v>
      </c>
      <c r="N14" s="48"/>
      <c r="O14" s="48"/>
    </row>
    <row r="15" spans="1:15" x14ac:dyDescent="0.3">
      <c r="A15" s="83" t="s">
        <v>345</v>
      </c>
      <c r="B15" s="83"/>
      <c r="C15" s="83"/>
      <c r="E15" s="61" t="s">
        <v>106</v>
      </c>
      <c r="F15" s="61">
        <v>916</v>
      </c>
      <c r="G15" s="61">
        <v>-577</v>
      </c>
      <c r="I15" s="48" t="s">
        <v>354</v>
      </c>
      <c r="J15" s="48">
        <v>18561</v>
      </c>
      <c r="K15" s="48">
        <v>-13827</v>
      </c>
    </row>
    <row r="16" spans="1:15" x14ac:dyDescent="0.3">
      <c r="A16" s="48" t="s">
        <v>329</v>
      </c>
      <c r="B16" s="48"/>
      <c r="C16" s="48"/>
      <c r="E16" s="48"/>
      <c r="F16" s="48"/>
      <c r="G16" s="48"/>
      <c r="I16" s="61" t="s">
        <v>106</v>
      </c>
      <c r="J16" s="61">
        <v>1185</v>
      </c>
      <c r="K16" s="61">
        <v>0</v>
      </c>
    </row>
    <row r="17" spans="1:15" x14ac:dyDescent="0.3">
      <c r="A17" s="48"/>
      <c r="B17" s="82" t="s">
        <v>330</v>
      </c>
      <c r="C17" s="82"/>
      <c r="E17" s="51" t="s">
        <v>344</v>
      </c>
      <c r="F17" s="52">
        <f>SUM(F13:F14)</f>
        <v>10926</v>
      </c>
      <c r="G17" s="52">
        <f>SUM(G13:G14)</f>
        <v>-6393</v>
      </c>
      <c r="I17" s="51" t="s">
        <v>344</v>
      </c>
      <c r="J17" s="52">
        <f>SUM(J13:J15)</f>
        <v>31974</v>
      </c>
      <c r="K17" s="52">
        <f>SUM(K13:K15)</f>
        <v>-13839</v>
      </c>
      <c r="M17" s="51"/>
      <c r="N17" s="52"/>
      <c r="O17" s="52"/>
    </row>
    <row r="18" spans="1:15" x14ac:dyDescent="0.3">
      <c r="A18" s="48"/>
      <c r="B18" s="50" t="s">
        <v>332</v>
      </c>
      <c r="C18" s="50" t="s">
        <v>333</v>
      </c>
    </row>
    <row r="19" spans="1:15" x14ac:dyDescent="0.3">
      <c r="A19" s="48" t="s">
        <v>346</v>
      </c>
      <c r="B19" s="48">
        <v>4484</v>
      </c>
      <c r="C19" s="48">
        <v>-493</v>
      </c>
      <c r="E19" s="48"/>
      <c r="F19" s="82" t="s">
        <v>361</v>
      </c>
      <c r="G19" s="82"/>
      <c r="I19" s="48"/>
      <c r="J19" s="82" t="s">
        <v>361</v>
      </c>
      <c r="K19" s="82"/>
      <c r="M19" s="48"/>
      <c r="N19" s="82"/>
      <c r="O19" s="82"/>
    </row>
    <row r="20" spans="1:15" x14ac:dyDescent="0.3">
      <c r="A20" s="48" t="s">
        <v>23</v>
      </c>
      <c r="B20" s="48">
        <v>1624</v>
      </c>
      <c r="C20" s="48">
        <v>-1075</v>
      </c>
      <c r="E20" s="48"/>
      <c r="F20" s="50" t="s">
        <v>332</v>
      </c>
      <c r="G20" s="50" t="s">
        <v>333</v>
      </c>
      <c r="I20" s="48"/>
      <c r="J20" s="50" t="s">
        <v>332</v>
      </c>
      <c r="K20" s="50" t="s">
        <v>333</v>
      </c>
      <c r="M20" s="48"/>
      <c r="N20" s="50"/>
      <c r="O20" s="50"/>
    </row>
    <row r="21" spans="1:15" x14ac:dyDescent="0.3">
      <c r="A21" s="61" t="s">
        <v>116</v>
      </c>
      <c r="B21" s="61">
        <v>60.92</v>
      </c>
      <c r="C21" s="61">
        <v>-155</v>
      </c>
      <c r="E21" s="48" t="s">
        <v>337</v>
      </c>
      <c r="F21" s="48">
        <v>1442</v>
      </c>
      <c r="G21" s="48">
        <v>-151</v>
      </c>
      <c r="I21" s="48" t="s">
        <v>336</v>
      </c>
      <c r="J21" s="48">
        <v>3117</v>
      </c>
      <c r="K21" s="48">
        <v>0</v>
      </c>
      <c r="M21" s="48"/>
      <c r="N21" s="48"/>
      <c r="O21" s="48"/>
    </row>
    <row r="22" spans="1:15" x14ac:dyDescent="0.3">
      <c r="A22" s="61" t="s">
        <v>343</v>
      </c>
      <c r="B22" s="61">
        <v>348</v>
      </c>
      <c r="C22" s="61">
        <v>-372</v>
      </c>
      <c r="E22" s="48" t="s">
        <v>354</v>
      </c>
      <c r="F22" s="48">
        <v>474</v>
      </c>
      <c r="G22" s="48">
        <v>-291</v>
      </c>
      <c r="I22" s="49" t="s">
        <v>339</v>
      </c>
      <c r="J22" s="48">
        <v>1785</v>
      </c>
      <c r="K22" s="48">
        <v>0</v>
      </c>
      <c r="N22" s="48"/>
      <c r="O22" s="48"/>
    </row>
    <row r="23" spans="1:15" x14ac:dyDescent="0.3">
      <c r="A23" s="61" t="s">
        <v>117</v>
      </c>
      <c r="B23" s="61">
        <v>581</v>
      </c>
      <c r="C23" s="61">
        <v>-477</v>
      </c>
      <c r="E23" s="61" t="s">
        <v>106</v>
      </c>
      <c r="F23" s="61">
        <v>366</v>
      </c>
      <c r="G23" s="61">
        <v>-344</v>
      </c>
      <c r="I23" s="48" t="s">
        <v>354</v>
      </c>
      <c r="J23" s="48">
        <v>1752</v>
      </c>
      <c r="K23" s="48">
        <v>-18</v>
      </c>
      <c r="M23" s="48"/>
      <c r="N23" s="48"/>
      <c r="O23" s="48"/>
    </row>
    <row r="24" spans="1:15" x14ac:dyDescent="0.3">
      <c r="E24" s="48"/>
      <c r="F24" s="48"/>
      <c r="G24" s="48"/>
      <c r="I24" s="61" t="s">
        <v>106</v>
      </c>
      <c r="J24" s="61">
        <v>702</v>
      </c>
      <c r="K24" s="61">
        <v>0</v>
      </c>
      <c r="M24" s="48"/>
      <c r="N24" s="48"/>
      <c r="O24" s="48"/>
    </row>
    <row r="25" spans="1:15" x14ac:dyDescent="0.3">
      <c r="E25" s="51" t="s">
        <v>344</v>
      </c>
      <c r="F25" s="52">
        <f>SUM(F21:F22)</f>
        <v>1916</v>
      </c>
      <c r="G25" s="52">
        <f>SUM(G21:G22)</f>
        <v>-442</v>
      </c>
      <c r="I25" s="51" t="s">
        <v>344</v>
      </c>
      <c r="J25" s="52">
        <f>SUM(J21:J23)</f>
        <v>6654</v>
      </c>
      <c r="K25" s="52">
        <f>SUM(K21:K23)</f>
        <v>-18</v>
      </c>
      <c r="M25" s="51"/>
      <c r="N25" s="52"/>
      <c r="O25" s="52"/>
    </row>
    <row r="27" spans="1:15" x14ac:dyDescent="0.3">
      <c r="A27" s="51" t="s">
        <v>344</v>
      </c>
      <c r="B27" s="52">
        <f>SUM(B19:B20)</f>
        <v>6108</v>
      </c>
      <c r="C27" s="52">
        <f>SUM(C19:C20)</f>
        <v>-1568</v>
      </c>
    </row>
    <row r="30" spans="1:15" x14ac:dyDescent="0.3">
      <c r="E30" s="48"/>
      <c r="F30" s="82" t="s">
        <v>350</v>
      </c>
      <c r="G30" s="82"/>
    </row>
    <row r="31" spans="1:15" x14ac:dyDescent="0.3">
      <c r="E31" s="48"/>
      <c r="F31" s="50" t="s">
        <v>332</v>
      </c>
      <c r="G31" s="50" t="s">
        <v>333</v>
      </c>
    </row>
    <row r="32" spans="1:15" x14ac:dyDescent="0.3">
      <c r="E32" s="48" t="s">
        <v>337</v>
      </c>
      <c r="F32" s="48">
        <v>1981</v>
      </c>
      <c r="G32" s="48">
        <v>-255</v>
      </c>
    </row>
    <row r="33" spans="5:7" x14ac:dyDescent="0.3">
      <c r="E33" s="48" t="s">
        <v>354</v>
      </c>
      <c r="F33" s="48">
        <v>1215</v>
      </c>
      <c r="G33" s="48">
        <v>-909</v>
      </c>
    </row>
    <row r="34" spans="5:7" x14ac:dyDescent="0.3">
      <c r="E34" s="61" t="s">
        <v>106</v>
      </c>
      <c r="F34" s="61">
        <v>3631</v>
      </c>
      <c r="G34" s="61">
        <v>-335</v>
      </c>
    </row>
    <row r="35" spans="5:7" x14ac:dyDescent="0.3">
      <c r="E35" s="48"/>
      <c r="F35" s="48"/>
      <c r="G35" s="48"/>
    </row>
    <row r="36" spans="5:7" x14ac:dyDescent="0.3">
      <c r="E36" s="51" t="s">
        <v>344</v>
      </c>
      <c r="F36" s="52">
        <f>SUM(F32:F33)</f>
        <v>3196</v>
      </c>
      <c r="G36" s="52">
        <f>SUM(G32:G33)</f>
        <v>-1164</v>
      </c>
    </row>
    <row r="38" spans="5:7" x14ac:dyDescent="0.3">
      <c r="E38" s="48"/>
      <c r="F38" s="82" t="s">
        <v>360</v>
      </c>
      <c r="G38" s="82"/>
    </row>
    <row r="39" spans="5:7" x14ac:dyDescent="0.3">
      <c r="E39" s="48"/>
      <c r="F39" s="50" t="s">
        <v>332</v>
      </c>
      <c r="G39" s="50" t="s">
        <v>333</v>
      </c>
    </row>
    <row r="40" spans="5:7" x14ac:dyDescent="0.3">
      <c r="E40" s="48" t="s">
        <v>337</v>
      </c>
      <c r="F40" s="48">
        <v>5176</v>
      </c>
      <c r="G40" s="48">
        <v>-544</v>
      </c>
    </row>
    <row r="41" spans="5:7" x14ac:dyDescent="0.3">
      <c r="E41" s="48" t="s">
        <v>354</v>
      </c>
      <c r="F41" s="48">
        <v>7870</v>
      </c>
      <c r="G41" s="48">
        <v>-5849</v>
      </c>
    </row>
    <row r="42" spans="5:7" x14ac:dyDescent="0.3">
      <c r="E42" s="61" t="s">
        <v>106</v>
      </c>
      <c r="F42" s="61">
        <v>1103</v>
      </c>
      <c r="G42" s="61">
        <v>-577</v>
      </c>
    </row>
    <row r="43" spans="5:7" x14ac:dyDescent="0.3">
      <c r="E43" s="48"/>
      <c r="F43" s="48"/>
      <c r="G43" s="48"/>
    </row>
    <row r="44" spans="5:7" x14ac:dyDescent="0.3">
      <c r="E44" s="51" t="s">
        <v>344</v>
      </c>
      <c r="F44" s="52">
        <f>SUM(F40:F41)</f>
        <v>13046</v>
      </c>
      <c r="G44" s="52">
        <f>SUM(G40:G41)</f>
        <v>-6393</v>
      </c>
    </row>
    <row r="46" spans="5:7" x14ac:dyDescent="0.3">
      <c r="E46" s="48"/>
      <c r="F46" s="82" t="s">
        <v>361</v>
      </c>
      <c r="G46" s="82"/>
    </row>
    <row r="47" spans="5:7" x14ac:dyDescent="0.3">
      <c r="E47" s="48"/>
      <c r="F47" s="50" t="s">
        <v>332</v>
      </c>
      <c r="G47" s="50" t="s">
        <v>333</v>
      </c>
    </row>
    <row r="48" spans="5:7" x14ac:dyDescent="0.3">
      <c r="E48" s="48" t="s">
        <v>337</v>
      </c>
      <c r="F48" s="48">
        <v>1442</v>
      </c>
      <c r="G48" s="48">
        <v>-151</v>
      </c>
    </row>
    <row r="49" spans="5:7" x14ac:dyDescent="0.3">
      <c r="E49" s="48" t="s">
        <v>354</v>
      </c>
      <c r="F49" s="48">
        <v>474</v>
      </c>
      <c r="G49" s="48">
        <v>-291</v>
      </c>
    </row>
    <row r="50" spans="5:7" x14ac:dyDescent="0.3">
      <c r="E50" s="61" t="s">
        <v>106</v>
      </c>
      <c r="F50" s="61">
        <v>366</v>
      </c>
      <c r="G50" s="61">
        <v>-344</v>
      </c>
    </row>
    <row r="51" spans="5:7" x14ac:dyDescent="0.3">
      <c r="E51" s="48"/>
      <c r="F51" s="48"/>
      <c r="G51" s="48"/>
    </row>
    <row r="52" spans="5:7" x14ac:dyDescent="0.3">
      <c r="E52" s="51" t="s">
        <v>344</v>
      </c>
      <c r="F52" s="52">
        <f>SUM(F48:F49)</f>
        <v>1916</v>
      </c>
      <c r="G52" s="52">
        <f>SUM(G48:G49)</f>
        <v>-442</v>
      </c>
    </row>
  </sheetData>
  <mergeCells count="19">
    <mergeCell ref="M1:O1"/>
    <mergeCell ref="N3:O3"/>
    <mergeCell ref="N11:O11"/>
    <mergeCell ref="N19:O19"/>
    <mergeCell ref="J3:K3"/>
    <mergeCell ref="I1:K1"/>
    <mergeCell ref="J11:K11"/>
    <mergeCell ref="J19:K19"/>
    <mergeCell ref="F30:G30"/>
    <mergeCell ref="F38:G38"/>
    <mergeCell ref="F46:G46"/>
    <mergeCell ref="A1:C1"/>
    <mergeCell ref="B3:C3"/>
    <mergeCell ref="F3:G3"/>
    <mergeCell ref="F11:G11"/>
    <mergeCell ref="F19:G19"/>
    <mergeCell ref="E1:G1"/>
    <mergeCell ref="A15:C15"/>
    <mergeCell ref="B17:C17"/>
  </mergeCells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FA25-7C16-45AF-847D-FE292607ECC3}">
  <dimension ref="A1:L30"/>
  <sheetViews>
    <sheetView zoomScale="115" zoomScaleNormal="115" workbookViewId="0">
      <selection activeCell="I2" sqref="I2"/>
    </sheetView>
  </sheetViews>
  <sheetFormatPr defaultColWidth="9.1796875" defaultRowHeight="13" x14ac:dyDescent="0.3"/>
  <cols>
    <col min="1" max="1" width="11.1796875" style="49" customWidth="1"/>
    <col min="2" max="4" width="16.7265625" style="49" customWidth="1"/>
    <col min="5" max="7" width="21.7265625" style="49" customWidth="1"/>
    <col min="8" max="8" width="9.1796875" style="49"/>
    <col min="9" max="11" width="22.1796875" style="49" customWidth="1"/>
    <col min="12" max="16384" width="9.1796875" style="49"/>
  </cols>
  <sheetData>
    <row r="1" spans="1:12" x14ac:dyDescent="0.3">
      <c r="A1" s="83" t="s">
        <v>327</v>
      </c>
      <c r="B1" s="83"/>
      <c r="C1" s="83"/>
      <c r="D1" s="47"/>
      <c r="E1" s="83" t="s">
        <v>362</v>
      </c>
      <c r="F1" s="83"/>
      <c r="G1" s="83"/>
      <c r="I1" s="83" t="s">
        <v>363</v>
      </c>
      <c r="J1" s="83"/>
      <c r="K1" s="83"/>
      <c r="L1" s="48"/>
    </row>
    <row r="2" spans="1:12" x14ac:dyDescent="0.3">
      <c r="A2" s="48" t="s">
        <v>329</v>
      </c>
      <c r="B2" s="48"/>
      <c r="C2" s="48"/>
      <c r="D2" s="48"/>
      <c r="E2" s="48"/>
      <c r="F2" s="48"/>
      <c r="I2" s="48"/>
      <c r="J2" s="48"/>
      <c r="K2" s="48"/>
      <c r="L2" s="48"/>
    </row>
    <row r="3" spans="1:12" x14ac:dyDescent="0.3">
      <c r="A3" s="48"/>
      <c r="B3" s="82" t="s">
        <v>330</v>
      </c>
      <c r="C3" s="82"/>
      <c r="D3" s="50"/>
      <c r="E3" s="48"/>
      <c r="F3" s="82" t="s">
        <v>364</v>
      </c>
      <c r="G3" s="82"/>
      <c r="I3" s="48"/>
      <c r="J3" s="82" t="s">
        <v>364</v>
      </c>
      <c r="K3" s="82"/>
      <c r="L3" s="48"/>
    </row>
    <row r="4" spans="1:12" x14ac:dyDescent="0.3">
      <c r="A4" s="48"/>
      <c r="B4" s="50" t="s">
        <v>332</v>
      </c>
      <c r="C4" s="50" t="s">
        <v>333</v>
      </c>
      <c r="D4" s="50"/>
      <c r="E4" s="48"/>
      <c r="F4" s="50" t="s">
        <v>332</v>
      </c>
      <c r="G4" s="50" t="s">
        <v>333</v>
      </c>
      <c r="I4" s="48"/>
      <c r="J4" s="50" t="s">
        <v>332</v>
      </c>
      <c r="K4" s="50" t="s">
        <v>333</v>
      </c>
    </row>
    <row r="5" spans="1:12" x14ac:dyDescent="0.3">
      <c r="A5" s="48" t="s">
        <v>336</v>
      </c>
      <c r="B5" s="48">
        <v>9615</v>
      </c>
      <c r="C5" s="48">
        <v>-6</v>
      </c>
      <c r="D5" s="48"/>
      <c r="E5" s="48" t="s">
        <v>337</v>
      </c>
      <c r="F5" s="48">
        <v>3539</v>
      </c>
      <c r="G5" s="48">
        <v>228</v>
      </c>
      <c r="I5" s="48" t="s">
        <v>336</v>
      </c>
      <c r="J5" s="48">
        <v>8799</v>
      </c>
      <c r="K5" s="48">
        <v>0</v>
      </c>
    </row>
    <row r="6" spans="1:12" x14ac:dyDescent="0.3">
      <c r="A6" s="49" t="s">
        <v>339</v>
      </c>
      <c r="B6" s="48">
        <v>3087</v>
      </c>
      <c r="C6" s="48">
        <v>-6</v>
      </c>
      <c r="D6" s="48"/>
      <c r="E6" s="48" t="s">
        <v>365</v>
      </c>
      <c r="F6" s="48">
        <v>6992</v>
      </c>
      <c r="G6" s="48">
        <v>2449</v>
      </c>
      <c r="I6" s="49" t="s">
        <v>339</v>
      </c>
      <c r="J6" s="49">
        <v>3057</v>
      </c>
      <c r="K6" s="49">
        <v>21</v>
      </c>
    </row>
    <row r="7" spans="1:12" x14ac:dyDescent="0.3">
      <c r="A7" s="48" t="s">
        <v>23</v>
      </c>
      <c r="B7" s="48">
        <v>2412</v>
      </c>
      <c r="C7" s="48">
        <v>-39</v>
      </c>
      <c r="D7" s="48"/>
      <c r="E7" s="48" t="s">
        <v>106</v>
      </c>
      <c r="F7" s="48">
        <v>1091</v>
      </c>
      <c r="G7" s="48">
        <v>308</v>
      </c>
      <c r="I7" s="48" t="s">
        <v>365</v>
      </c>
      <c r="J7" s="48">
        <v>12966</v>
      </c>
      <c r="K7" s="48">
        <v>1947</v>
      </c>
    </row>
    <row r="8" spans="1:12" x14ac:dyDescent="0.3">
      <c r="A8" s="48" t="s">
        <v>116</v>
      </c>
      <c r="B8" s="48">
        <v>0</v>
      </c>
      <c r="C8" s="48">
        <v>-6</v>
      </c>
      <c r="D8" s="48"/>
      <c r="E8" s="48" t="s">
        <v>366</v>
      </c>
      <c r="F8" s="48">
        <v>19</v>
      </c>
      <c r="G8" s="48">
        <v>7</v>
      </c>
      <c r="I8" s="48" t="s">
        <v>106</v>
      </c>
      <c r="J8" s="48">
        <v>606</v>
      </c>
      <c r="K8" s="48">
        <v>0</v>
      </c>
    </row>
    <row r="9" spans="1:12" x14ac:dyDescent="0.3">
      <c r="A9" s="49" t="s">
        <v>343</v>
      </c>
      <c r="B9" s="49">
        <v>984</v>
      </c>
      <c r="C9" s="49">
        <v>0</v>
      </c>
      <c r="E9" s="49" t="s">
        <v>367</v>
      </c>
      <c r="F9" s="49">
        <v>55</v>
      </c>
      <c r="G9" s="49">
        <v>44</v>
      </c>
      <c r="I9" s="48" t="s">
        <v>366</v>
      </c>
      <c r="J9" s="48">
        <v>0</v>
      </c>
      <c r="K9" s="48">
        <v>0</v>
      </c>
    </row>
    <row r="10" spans="1:12" x14ac:dyDescent="0.3">
      <c r="A10" s="49" t="s">
        <v>117</v>
      </c>
      <c r="B10" s="49">
        <v>291</v>
      </c>
      <c r="C10" s="49">
        <v>-18</v>
      </c>
      <c r="E10" s="49" t="s">
        <v>355</v>
      </c>
      <c r="F10" s="49">
        <v>408</v>
      </c>
      <c r="G10" s="49">
        <v>241</v>
      </c>
      <c r="I10" s="49" t="s">
        <v>367</v>
      </c>
      <c r="J10" s="49">
        <v>0</v>
      </c>
      <c r="K10" s="49">
        <v>0</v>
      </c>
    </row>
    <row r="11" spans="1:12" x14ac:dyDescent="0.3">
      <c r="I11" s="49" t="s">
        <v>355</v>
      </c>
      <c r="J11" s="49">
        <v>242</v>
      </c>
      <c r="K11" s="49">
        <v>0</v>
      </c>
    </row>
    <row r="12" spans="1:12" x14ac:dyDescent="0.3">
      <c r="E12" s="51" t="s">
        <v>344</v>
      </c>
      <c r="F12" s="52">
        <f>SUM(F5:F10)</f>
        <v>12104</v>
      </c>
      <c r="G12" s="52">
        <f>SUM(G5:G10)</f>
        <v>3277</v>
      </c>
    </row>
    <row r="13" spans="1:12" x14ac:dyDescent="0.3">
      <c r="A13" s="51" t="s">
        <v>344</v>
      </c>
      <c r="B13" s="52">
        <f>SUM(B5:B10)</f>
        <v>16389</v>
      </c>
      <c r="C13" s="52">
        <f>SUM(C5:C10)</f>
        <v>-75</v>
      </c>
      <c r="D13" s="52"/>
      <c r="I13" s="51" t="s">
        <v>344</v>
      </c>
      <c r="J13" s="52">
        <f>SUM(J5:J11)</f>
        <v>25670</v>
      </c>
      <c r="K13" s="52">
        <f>SUM(K5:K11)</f>
        <v>1968</v>
      </c>
    </row>
    <row r="14" spans="1:12" x14ac:dyDescent="0.3">
      <c r="E14" s="48"/>
      <c r="F14" s="82" t="s">
        <v>364</v>
      </c>
      <c r="G14" s="82"/>
    </row>
    <row r="15" spans="1:12" x14ac:dyDescent="0.3">
      <c r="A15" s="83" t="s">
        <v>345</v>
      </c>
      <c r="B15" s="83"/>
      <c r="C15" s="83"/>
      <c r="E15" s="48"/>
      <c r="F15" s="50" t="s">
        <v>332</v>
      </c>
      <c r="G15" s="50" t="s">
        <v>333</v>
      </c>
      <c r="I15" s="48"/>
      <c r="J15" s="50" t="s">
        <v>364</v>
      </c>
      <c r="K15" s="50"/>
    </row>
    <row r="16" spans="1:12" x14ac:dyDescent="0.3">
      <c r="A16" s="48" t="s">
        <v>329</v>
      </c>
      <c r="B16" s="48"/>
      <c r="C16" s="48"/>
      <c r="E16" s="48" t="s">
        <v>100</v>
      </c>
      <c r="F16" s="48">
        <v>6998</v>
      </c>
      <c r="G16" s="48">
        <v>5257</v>
      </c>
      <c r="I16" s="48"/>
      <c r="J16" s="50" t="s">
        <v>332</v>
      </c>
      <c r="K16" s="50" t="s">
        <v>333</v>
      </c>
    </row>
    <row r="17" spans="1:11" x14ac:dyDescent="0.3">
      <c r="A17" s="48"/>
      <c r="B17" s="82" t="s">
        <v>330</v>
      </c>
      <c r="C17" s="82"/>
      <c r="E17" s="48" t="s">
        <v>368</v>
      </c>
      <c r="F17" s="48">
        <v>1834</v>
      </c>
      <c r="G17" s="48">
        <v>1769</v>
      </c>
      <c r="I17" s="48" t="s">
        <v>100</v>
      </c>
      <c r="J17" s="48">
        <v>17088</v>
      </c>
      <c r="K17" s="48">
        <v>3384</v>
      </c>
    </row>
    <row r="18" spans="1:11" x14ac:dyDescent="0.3">
      <c r="A18" s="48"/>
      <c r="B18" s="50" t="s">
        <v>332</v>
      </c>
      <c r="C18" s="50" t="s">
        <v>333</v>
      </c>
      <c r="E18" s="48" t="s">
        <v>369</v>
      </c>
      <c r="F18" s="48">
        <v>116</v>
      </c>
      <c r="G18" s="48">
        <v>276</v>
      </c>
      <c r="I18" s="48" t="s">
        <v>368</v>
      </c>
      <c r="J18" s="48">
        <v>1353</v>
      </c>
      <c r="K18" s="48">
        <v>2118</v>
      </c>
    </row>
    <row r="19" spans="1:11" x14ac:dyDescent="0.3">
      <c r="A19" s="48" t="s">
        <v>346</v>
      </c>
      <c r="B19" s="48">
        <v>4484</v>
      </c>
      <c r="C19" s="48">
        <v>-493</v>
      </c>
      <c r="I19" s="48" t="s">
        <v>369</v>
      </c>
      <c r="J19" s="48">
        <v>0</v>
      </c>
      <c r="K19" s="48">
        <v>0</v>
      </c>
    </row>
    <row r="20" spans="1:11" x14ac:dyDescent="0.3">
      <c r="A20" s="48" t="s">
        <v>23</v>
      </c>
      <c r="B20" s="48">
        <v>1624</v>
      </c>
      <c r="C20" s="48">
        <v>-1075</v>
      </c>
      <c r="E20" s="51" t="s">
        <v>344</v>
      </c>
      <c r="F20" s="52">
        <f>SUM(F16:F18)</f>
        <v>8948</v>
      </c>
      <c r="G20" s="52">
        <f>SUM(G16:G18)</f>
        <v>7302</v>
      </c>
    </row>
    <row r="21" spans="1:11" x14ac:dyDescent="0.3">
      <c r="A21" s="48" t="s">
        <v>116</v>
      </c>
      <c r="B21" s="48">
        <v>60.92</v>
      </c>
      <c r="C21" s="48">
        <v>155</v>
      </c>
      <c r="E21" s="48"/>
      <c r="F21" s="48"/>
      <c r="G21" s="48"/>
      <c r="I21" s="51" t="s">
        <v>344</v>
      </c>
      <c r="J21" s="52">
        <f>SUM(J17:J19)</f>
        <v>18441</v>
      </c>
      <c r="K21" s="52">
        <f>SUM(K17:K19)</f>
        <v>5502</v>
      </c>
    </row>
    <row r="22" spans="1:11" x14ac:dyDescent="0.3">
      <c r="A22" s="49" t="s">
        <v>343</v>
      </c>
      <c r="B22" s="49">
        <v>348</v>
      </c>
      <c r="C22" s="49">
        <v>372</v>
      </c>
      <c r="J22" s="48"/>
      <c r="K22" s="48"/>
    </row>
    <row r="23" spans="1:11" x14ac:dyDescent="0.3">
      <c r="A23" s="49" t="s">
        <v>117</v>
      </c>
      <c r="B23" s="49">
        <v>581</v>
      </c>
      <c r="C23" s="49">
        <v>477</v>
      </c>
      <c r="I23" s="48"/>
      <c r="J23" s="48"/>
      <c r="K23" s="48"/>
    </row>
    <row r="24" spans="1:11" x14ac:dyDescent="0.3">
      <c r="E24" s="48"/>
      <c r="F24" s="50"/>
      <c r="G24" s="50"/>
      <c r="I24" s="48"/>
      <c r="J24" s="48"/>
      <c r="K24" s="48"/>
    </row>
    <row r="25" spans="1:11" x14ac:dyDescent="0.3">
      <c r="E25" s="48"/>
      <c r="F25" s="50"/>
      <c r="G25" s="50"/>
      <c r="I25" s="51"/>
      <c r="J25" s="52"/>
      <c r="K25" s="52"/>
    </row>
    <row r="26" spans="1:11" x14ac:dyDescent="0.3">
      <c r="E26" s="48"/>
      <c r="F26" s="48"/>
      <c r="G26" s="48"/>
    </row>
    <row r="27" spans="1:11" x14ac:dyDescent="0.3">
      <c r="A27" s="51" t="s">
        <v>344</v>
      </c>
      <c r="B27" s="52">
        <f>SUM(B19:B24)</f>
        <v>7097.92</v>
      </c>
      <c r="C27" s="52">
        <f>SUM(C19:C24)</f>
        <v>-564</v>
      </c>
      <c r="E27" s="48"/>
      <c r="F27" s="48"/>
      <c r="G27" s="48"/>
    </row>
    <row r="28" spans="1:11" x14ac:dyDescent="0.3">
      <c r="E28" s="48"/>
      <c r="F28" s="48"/>
      <c r="G28" s="48"/>
    </row>
    <row r="29" spans="1:11" x14ac:dyDescent="0.3">
      <c r="E29" s="48"/>
      <c r="F29" s="48"/>
      <c r="G29" s="48"/>
    </row>
    <row r="30" spans="1:11" x14ac:dyDescent="0.3">
      <c r="E30" s="51"/>
      <c r="F30" s="52"/>
      <c r="G30" s="52"/>
    </row>
  </sheetData>
  <mergeCells count="9">
    <mergeCell ref="A15:C15"/>
    <mergeCell ref="B17:C17"/>
    <mergeCell ref="F14:G14"/>
    <mergeCell ref="A1:C1"/>
    <mergeCell ref="I1:K1"/>
    <mergeCell ref="E1:G1"/>
    <mergeCell ref="B3:C3"/>
    <mergeCell ref="J3:K3"/>
    <mergeCell ref="F3:G3"/>
  </mergeCells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5715-E7D2-4125-A184-5D6CA6356872}">
  <dimension ref="A1:L30"/>
  <sheetViews>
    <sheetView zoomScale="115" zoomScaleNormal="115" workbookViewId="0">
      <selection activeCell="D31" sqref="D31"/>
    </sheetView>
  </sheetViews>
  <sheetFormatPr defaultColWidth="9.1796875" defaultRowHeight="13" x14ac:dyDescent="0.3"/>
  <cols>
    <col min="1" max="1" width="11.1796875" style="49" customWidth="1"/>
    <col min="2" max="4" width="16.7265625" style="49" customWidth="1"/>
    <col min="5" max="7" width="21.7265625" style="49" customWidth="1"/>
    <col min="8" max="8" width="9.1796875" style="49"/>
    <col min="9" max="11" width="22.1796875" style="49" customWidth="1"/>
    <col min="12" max="16384" width="9.1796875" style="49"/>
  </cols>
  <sheetData>
    <row r="1" spans="1:12" x14ac:dyDescent="0.3">
      <c r="A1" s="83" t="s">
        <v>327</v>
      </c>
      <c r="B1" s="83"/>
      <c r="C1" s="83"/>
      <c r="D1" s="47"/>
      <c r="E1" s="83" t="s">
        <v>362</v>
      </c>
      <c r="F1" s="83"/>
      <c r="G1" s="83"/>
      <c r="I1" s="83" t="s">
        <v>363</v>
      </c>
      <c r="J1" s="83"/>
      <c r="K1" s="83"/>
      <c r="L1" s="48"/>
    </row>
    <row r="2" spans="1:12" x14ac:dyDescent="0.3">
      <c r="A2" s="48" t="s">
        <v>329</v>
      </c>
      <c r="B2" s="48"/>
      <c r="C2" s="48"/>
      <c r="D2" s="48"/>
      <c r="E2" s="48"/>
      <c r="F2" s="48"/>
      <c r="I2" s="48"/>
      <c r="J2" s="48"/>
      <c r="K2" s="48"/>
      <c r="L2" s="48"/>
    </row>
    <row r="3" spans="1:12" x14ac:dyDescent="0.3">
      <c r="A3" s="48"/>
      <c r="B3" s="82" t="s">
        <v>330</v>
      </c>
      <c r="C3" s="82"/>
      <c r="D3" s="50"/>
      <c r="E3" s="48"/>
      <c r="F3" s="82" t="s">
        <v>117</v>
      </c>
      <c r="G3" s="82"/>
      <c r="I3" s="48"/>
      <c r="J3" s="82" t="s">
        <v>364</v>
      </c>
      <c r="K3" s="82"/>
      <c r="L3" s="48"/>
    </row>
    <row r="4" spans="1:12" x14ac:dyDescent="0.3">
      <c r="A4" s="48"/>
      <c r="B4" s="50" t="s">
        <v>332</v>
      </c>
      <c r="C4" s="50" t="s">
        <v>333</v>
      </c>
      <c r="D4" s="50"/>
      <c r="E4" s="48"/>
      <c r="F4" s="50" t="s">
        <v>332</v>
      </c>
      <c r="G4" s="50" t="s">
        <v>333</v>
      </c>
      <c r="I4" s="48"/>
      <c r="J4" s="50" t="s">
        <v>332</v>
      </c>
      <c r="K4" s="50" t="s">
        <v>333</v>
      </c>
    </row>
    <row r="5" spans="1:12" x14ac:dyDescent="0.3">
      <c r="A5" s="48" t="s">
        <v>336</v>
      </c>
      <c r="B5" s="48">
        <v>9615</v>
      </c>
      <c r="C5" s="48">
        <v>-6</v>
      </c>
      <c r="D5" s="48"/>
      <c r="E5" s="48" t="s">
        <v>337</v>
      </c>
      <c r="F5" s="48">
        <v>6016</v>
      </c>
      <c r="G5" s="48">
        <v>1101</v>
      </c>
      <c r="I5" s="48" t="s">
        <v>336</v>
      </c>
      <c r="J5" s="48">
        <v>8799</v>
      </c>
      <c r="K5" s="48">
        <v>0</v>
      </c>
    </row>
    <row r="6" spans="1:12" x14ac:dyDescent="0.3">
      <c r="A6" s="49" t="s">
        <v>339</v>
      </c>
      <c r="B6" s="48">
        <v>3087</v>
      </c>
      <c r="C6" s="48">
        <v>-6</v>
      </c>
      <c r="D6" s="48"/>
      <c r="E6" s="48" t="s">
        <v>370</v>
      </c>
      <c r="F6" s="48">
        <f>36102-168-24680-F5</f>
        <v>5238</v>
      </c>
      <c r="G6" s="48">
        <f>40442-G5-264-29332</f>
        <v>9745</v>
      </c>
      <c r="I6" s="49" t="s">
        <v>339</v>
      </c>
      <c r="J6" s="49">
        <v>3057</v>
      </c>
      <c r="K6" s="49">
        <v>21</v>
      </c>
    </row>
    <row r="7" spans="1:12" x14ac:dyDescent="0.3">
      <c r="A7" s="48" t="s">
        <v>23</v>
      </c>
      <c r="B7" s="48">
        <v>2412</v>
      </c>
      <c r="C7" s="48">
        <v>-39</v>
      </c>
      <c r="D7" s="48"/>
      <c r="E7" s="49" t="s">
        <v>371</v>
      </c>
      <c r="F7" s="48">
        <f>4286+1276+2250+3309+1556</f>
        <v>12677</v>
      </c>
      <c r="G7" s="48">
        <f>4099+2423+1082+4489+584</f>
        <v>12677</v>
      </c>
      <c r="I7" s="48" t="s">
        <v>365</v>
      </c>
      <c r="J7" s="48">
        <v>12966</v>
      </c>
      <c r="K7" s="48">
        <v>1947</v>
      </c>
    </row>
    <row r="8" spans="1:12" x14ac:dyDescent="0.3">
      <c r="A8" s="48" t="s">
        <v>116</v>
      </c>
      <c r="B8" s="48">
        <v>0</v>
      </c>
      <c r="C8" s="48">
        <v>-6</v>
      </c>
      <c r="D8" s="48"/>
      <c r="E8" s="48"/>
      <c r="F8" s="48"/>
      <c r="G8" s="48"/>
      <c r="I8" s="48" t="s">
        <v>106</v>
      </c>
      <c r="J8" s="48">
        <v>606</v>
      </c>
      <c r="K8" s="48">
        <v>0</v>
      </c>
    </row>
    <row r="9" spans="1:12" x14ac:dyDescent="0.3">
      <c r="A9" s="49" t="s">
        <v>343</v>
      </c>
      <c r="B9" s="49">
        <v>984</v>
      </c>
      <c r="C9" s="49">
        <v>0</v>
      </c>
      <c r="E9" s="51" t="s">
        <v>344</v>
      </c>
      <c r="F9" s="52">
        <f>SUM(F5:F7)</f>
        <v>23931</v>
      </c>
      <c r="G9" s="52">
        <f>SUM(G5:G7)</f>
        <v>23523</v>
      </c>
      <c r="I9" s="48" t="s">
        <v>366</v>
      </c>
      <c r="J9" s="48">
        <v>0</v>
      </c>
      <c r="K9" s="48">
        <v>0</v>
      </c>
    </row>
    <row r="10" spans="1:12" x14ac:dyDescent="0.3">
      <c r="A10" s="49" t="s">
        <v>117</v>
      </c>
      <c r="B10" s="49">
        <v>291</v>
      </c>
      <c r="C10" s="49">
        <v>-18</v>
      </c>
      <c r="I10" s="49" t="s">
        <v>367</v>
      </c>
      <c r="J10" s="49">
        <v>0</v>
      </c>
      <c r="K10" s="49">
        <v>0</v>
      </c>
    </row>
    <row r="11" spans="1:12" x14ac:dyDescent="0.3">
      <c r="E11" s="48"/>
      <c r="F11" s="82" t="s">
        <v>116</v>
      </c>
      <c r="G11" s="82"/>
      <c r="I11" s="49" t="s">
        <v>355</v>
      </c>
      <c r="J11" s="49">
        <v>242</v>
      </c>
      <c r="K11" s="49">
        <v>0</v>
      </c>
    </row>
    <row r="12" spans="1:12" x14ac:dyDescent="0.3">
      <c r="E12" s="48"/>
      <c r="F12" s="50" t="s">
        <v>332</v>
      </c>
      <c r="G12" s="50" t="s">
        <v>333</v>
      </c>
    </row>
    <row r="13" spans="1:12" x14ac:dyDescent="0.3">
      <c r="A13" s="51" t="s">
        <v>344</v>
      </c>
      <c r="B13" s="52">
        <f>SUM(B5:B10)</f>
        <v>16389</v>
      </c>
      <c r="C13" s="52">
        <f>SUM(C5:C10)</f>
        <v>-75</v>
      </c>
      <c r="D13" s="52"/>
      <c r="E13" s="48" t="s">
        <v>337</v>
      </c>
      <c r="F13" s="48">
        <v>6999</v>
      </c>
      <c r="G13" s="48">
        <v>1361</v>
      </c>
      <c r="I13" s="51" t="s">
        <v>344</v>
      </c>
      <c r="J13" s="52">
        <f>SUM(J5:J11)</f>
        <v>25670</v>
      </c>
      <c r="K13" s="52">
        <f>SUM(K5:K11)</f>
        <v>1968</v>
      </c>
    </row>
    <row r="14" spans="1:12" x14ac:dyDescent="0.3">
      <c r="E14" s="48" t="s">
        <v>370</v>
      </c>
      <c r="F14" s="48">
        <f>38358-F13-26161-99</f>
        <v>5099</v>
      </c>
      <c r="G14" s="48">
        <f>39886-G13-28394-2337</f>
        <v>7794</v>
      </c>
    </row>
    <row r="15" spans="1:12" x14ac:dyDescent="0.3">
      <c r="A15" s="83" t="s">
        <v>345</v>
      </c>
      <c r="B15" s="83"/>
      <c r="C15" s="83"/>
      <c r="E15" s="49" t="s">
        <v>372</v>
      </c>
      <c r="F15" s="48">
        <f>6307+3739+4050</f>
        <v>14096</v>
      </c>
      <c r="G15" s="48">
        <f>6575+4911+2609</f>
        <v>14095</v>
      </c>
      <c r="I15" s="48"/>
      <c r="J15" s="50" t="s">
        <v>364</v>
      </c>
      <c r="K15" s="50"/>
    </row>
    <row r="16" spans="1:12" x14ac:dyDescent="0.3">
      <c r="A16" s="48" t="s">
        <v>329</v>
      </c>
      <c r="B16" s="48"/>
      <c r="C16" s="48"/>
      <c r="I16" s="48"/>
      <c r="J16" s="50" t="s">
        <v>332</v>
      </c>
      <c r="K16" s="50" t="s">
        <v>333</v>
      </c>
    </row>
    <row r="17" spans="1:11" x14ac:dyDescent="0.3">
      <c r="A17" s="48"/>
      <c r="B17" s="82" t="s">
        <v>330</v>
      </c>
      <c r="C17" s="82"/>
      <c r="E17" s="51" t="s">
        <v>344</v>
      </c>
      <c r="F17" s="52">
        <f>SUM(F13:F15)</f>
        <v>26194</v>
      </c>
      <c r="G17" s="52">
        <f>SUM(G13:G15)</f>
        <v>23250</v>
      </c>
      <c r="I17" s="48" t="s">
        <v>100</v>
      </c>
      <c r="J17" s="48">
        <v>17088</v>
      </c>
      <c r="K17" s="48">
        <v>3384</v>
      </c>
    </row>
    <row r="18" spans="1:11" x14ac:dyDescent="0.3">
      <c r="A18" s="48"/>
      <c r="B18" s="50" t="s">
        <v>332</v>
      </c>
      <c r="C18" s="50" t="s">
        <v>333</v>
      </c>
      <c r="I18" s="48" t="s">
        <v>368</v>
      </c>
      <c r="J18" s="48">
        <v>1353</v>
      </c>
      <c r="K18" s="48">
        <v>2118</v>
      </c>
    </row>
    <row r="19" spans="1:11" x14ac:dyDescent="0.3">
      <c r="A19" s="48" t="s">
        <v>346</v>
      </c>
      <c r="B19" s="48">
        <v>4484</v>
      </c>
      <c r="C19" s="48">
        <v>-493</v>
      </c>
      <c r="E19" s="48"/>
      <c r="F19" s="82" t="s">
        <v>373</v>
      </c>
      <c r="G19" s="82"/>
      <c r="I19" s="48" t="s">
        <v>369</v>
      </c>
      <c r="J19" s="48">
        <v>0</v>
      </c>
      <c r="K19" s="48">
        <v>0</v>
      </c>
    </row>
    <row r="20" spans="1:11" x14ac:dyDescent="0.3">
      <c r="A20" s="48" t="s">
        <v>23</v>
      </c>
      <c r="B20" s="48">
        <v>1624</v>
      </c>
      <c r="C20" s="48">
        <v>-1075</v>
      </c>
      <c r="E20" s="48"/>
      <c r="F20" s="50" t="s">
        <v>332</v>
      </c>
      <c r="G20" s="50" t="s">
        <v>333</v>
      </c>
    </row>
    <row r="21" spans="1:11" x14ac:dyDescent="0.3">
      <c r="A21" s="48" t="s">
        <v>116</v>
      </c>
      <c r="B21" s="48">
        <v>60.92</v>
      </c>
      <c r="C21" s="48">
        <v>155</v>
      </c>
      <c r="E21" s="48" t="s">
        <v>337</v>
      </c>
      <c r="F21" s="48">
        <v>5251</v>
      </c>
      <c r="G21" s="48">
        <v>403</v>
      </c>
      <c r="I21" s="51" t="s">
        <v>344</v>
      </c>
      <c r="J21" s="52">
        <f>SUM(J17:J19)</f>
        <v>18441</v>
      </c>
      <c r="K21" s="52">
        <f>SUM(K17:K19)</f>
        <v>5502</v>
      </c>
    </row>
    <row r="22" spans="1:11" x14ac:dyDescent="0.3">
      <c r="A22" s="49" t="s">
        <v>343</v>
      </c>
      <c r="B22" s="49">
        <v>348</v>
      </c>
      <c r="C22" s="49">
        <v>372</v>
      </c>
      <c r="E22" s="48" t="s">
        <v>370</v>
      </c>
      <c r="F22" s="48">
        <f>37924-F21-27426-486</f>
        <v>4761</v>
      </c>
      <c r="G22" s="48">
        <f>28097-G21-22866-822</f>
        <v>4006</v>
      </c>
      <c r="J22" s="48"/>
      <c r="K22" s="48"/>
    </row>
    <row r="23" spans="1:11" x14ac:dyDescent="0.3">
      <c r="A23" s="49" t="s">
        <v>117</v>
      </c>
      <c r="B23" s="49">
        <v>581</v>
      </c>
      <c r="C23" s="49">
        <v>477</v>
      </c>
      <c r="E23" s="49" t="s">
        <v>374</v>
      </c>
      <c r="F23" s="48">
        <f>17021</f>
        <v>17021</v>
      </c>
      <c r="G23" s="48">
        <v>17134</v>
      </c>
      <c r="I23" s="48"/>
      <c r="J23" s="48"/>
      <c r="K23" s="48"/>
    </row>
    <row r="24" spans="1:11" x14ac:dyDescent="0.3">
      <c r="I24" s="48"/>
      <c r="J24" s="48"/>
      <c r="K24" s="48"/>
    </row>
    <row r="25" spans="1:11" x14ac:dyDescent="0.3">
      <c r="E25" s="51" t="s">
        <v>344</v>
      </c>
      <c r="F25" s="52">
        <f>SUM(F21:F23)</f>
        <v>27033</v>
      </c>
      <c r="G25" s="52">
        <f>SUM(G21:G23)</f>
        <v>21543</v>
      </c>
      <c r="I25" s="51"/>
      <c r="J25" s="52"/>
      <c r="K25" s="52"/>
    </row>
    <row r="26" spans="1:11" x14ac:dyDescent="0.3">
      <c r="E26" s="48"/>
      <c r="F26" s="48"/>
      <c r="G26" s="48"/>
    </row>
    <row r="27" spans="1:11" x14ac:dyDescent="0.3">
      <c r="A27" s="51" t="s">
        <v>344</v>
      </c>
      <c r="B27" s="52">
        <f>SUM(B19:B24)</f>
        <v>7097.92</v>
      </c>
      <c r="C27" s="52">
        <f>SUM(C19:C24)</f>
        <v>-564</v>
      </c>
      <c r="E27" s="48" t="s">
        <v>375</v>
      </c>
      <c r="F27" s="48"/>
      <c r="G27" s="48"/>
    </row>
    <row r="28" spans="1:11" x14ac:dyDescent="0.3">
      <c r="E28" s="48"/>
      <c r="F28" s="48"/>
      <c r="G28" s="48"/>
    </row>
    <row r="29" spans="1:11" x14ac:dyDescent="0.3">
      <c r="E29" s="48"/>
      <c r="F29" s="48"/>
      <c r="G29" s="48"/>
    </row>
    <row r="30" spans="1:11" x14ac:dyDescent="0.3">
      <c r="E30" s="51"/>
      <c r="F30" s="52"/>
      <c r="G30" s="52"/>
    </row>
  </sheetData>
  <mergeCells count="10">
    <mergeCell ref="I1:K1"/>
    <mergeCell ref="B3:C3"/>
    <mergeCell ref="F3:G3"/>
    <mergeCell ref="J3:K3"/>
    <mergeCell ref="A15:C15"/>
    <mergeCell ref="B17:C17"/>
    <mergeCell ref="F19:G19"/>
    <mergeCell ref="F11:G11"/>
    <mergeCell ref="A1:C1"/>
    <mergeCell ref="E1:G1"/>
  </mergeCells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ECC2-E03B-432C-BB37-01AC754461F5}">
  <dimension ref="A1:J27"/>
  <sheetViews>
    <sheetView zoomScale="115" zoomScaleNormal="115" workbookViewId="0">
      <selection activeCell="F6" sqref="F6"/>
    </sheetView>
  </sheetViews>
  <sheetFormatPr defaultColWidth="9.1796875" defaultRowHeight="13" x14ac:dyDescent="0.3"/>
  <cols>
    <col min="1" max="3" width="15.26953125" style="37" customWidth="1"/>
    <col min="4" max="4" width="4.7265625" style="37" customWidth="1"/>
    <col min="5" max="5" width="20.81640625" style="37" bestFit="1" customWidth="1"/>
    <col min="6" max="8" width="15.26953125" style="37" customWidth="1"/>
    <col min="9" max="16384" width="9.1796875" style="37"/>
  </cols>
  <sheetData>
    <row r="1" spans="1:10" x14ac:dyDescent="0.3">
      <c r="A1" s="83" t="s">
        <v>327</v>
      </c>
      <c r="B1" s="83"/>
      <c r="C1" s="83"/>
      <c r="D1" s="47"/>
      <c r="E1" s="83" t="s">
        <v>362</v>
      </c>
      <c r="F1" s="83"/>
      <c r="G1" s="83"/>
      <c r="H1" s="38"/>
      <c r="I1" s="38"/>
      <c r="J1" s="38"/>
    </row>
    <row r="2" spans="1:10" x14ac:dyDescent="0.3">
      <c r="A2" s="48" t="s">
        <v>329</v>
      </c>
      <c r="B2" s="48"/>
      <c r="C2" s="48"/>
      <c r="D2" s="48"/>
      <c r="E2" s="48"/>
      <c r="F2" s="48"/>
      <c r="G2" s="49"/>
      <c r="H2" s="38"/>
      <c r="I2" s="38"/>
      <c r="J2" s="38"/>
    </row>
    <row r="3" spans="1:10" x14ac:dyDescent="0.3">
      <c r="A3" s="48"/>
      <c r="B3" s="82" t="s">
        <v>330</v>
      </c>
      <c r="C3" s="82"/>
      <c r="D3" s="50"/>
      <c r="E3" s="48"/>
      <c r="F3" s="82" t="s">
        <v>380</v>
      </c>
      <c r="G3" s="82"/>
      <c r="H3" s="38"/>
      <c r="I3" s="38"/>
      <c r="J3" s="38"/>
    </row>
    <row r="4" spans="1:10" x14ac:dyDescent="0.3">
      <c r="A4" s="48"/>
      <c r="B4" s="50" t="s">
        <v>332</v>
      </c>
      <c r="C4" s="50" t="s">
        <v>333</v>
      </c>
      <c r="D4" s="50"/>
      <c r="E4" s="48"/>
      <c r="F4" s="50" t="s">
        <v>332</v>
      </c>
      <c r="G4" s="50" t="s">
        <v>333</v>
      </c>
    </row>
    <row r="5" spans="1:10" x14ac:dyDescent="0.3">
      <c r="A5" s="48" t="s">
        <v>336</v>
      </c>
      <c r="B5" s="48">
        <v>9615</v>
      </c>
      <c r="C5" s="48">
        <v>-6</v>
      </c>
      <c r="D5" s="48"/>
      <c r="E5" s="48" t="s">
        <v>337</v>
      </c>
      <c r="F5" s="48">
        <v>2049</v>
      </c>
      <c r="G5" s="48">
        <v>319</v>
      </c>
    </row>
    <row r="6" spans="1:10" x14ac:dyDescent="0.3">
      <c r="A6" s="49" t="s">
        <v>339</v>
      </c>
      <c r="B6" s="48">
        <v>3087</v>
      </c>
      <c r="C6" s="48">
        <v>-6</v>
      </c>
      <c r="D6" s="48"/>
      <c r="E6" s="48" t="s">
        <v>23</v>
      </c>
      <c r="F6" s="48">
        <v>2104</v>
      </c>
      <c r="G6" s="48">
        <v>1656</v>
      </c>
    </row>
    <row r="7" spans="1:10" x14ac:dyDescent="0.3">
      <c r="A7" s="48" t="s">
        <v>23</v>
      </c>
      <c r="B7" s="48">
        <v>2412</v>
      </c>
      <c r="C7" s="48">
        <v>-39</v>
      </c>
      <c r="D7" s="48"/>
      <c r="E7" s="49" t="s">
        <v>116</v>
      </c>
      <c r="F7" s="48">
        <v>3777</v>
      </c>
      <c r="G7" s="48">
        <v>3378</v>
      </c>
    </row>
    <row r="8" spans="1:10" x14ac:dyDescent="0.3">
      <c r="A8" s="48" t="s">
        <v>116</v>
      </c>
      <c r="B8" s="48">
        <v>0</v>
      </c>
      <c r="C8" s="48">
        <v>-6</v>
      </c>
      <c r="D8" s="48"/>
      <c r="E8" s="48" t="s">
        <v>381</v>
      </c>
      <c r="F8" s="48">
        <v>608</v>
      </c>
      <c r="G8" s="48">
        <v>223</v>
      </c>
    </row>
    <row r="9" spans="1:10" x14ac:dyDescent="0.3">
      <c r="A9" s="49" t="s">
        <v>343</v>
      </c>
      <c r="B9" s="49">
        <v>984</v>
      </c>
      <c r="C9" s="49">
        <v>0</v>
      </c>
      <c r="D9" s="49"/>
      <c r="E9" s="37" t="s">
        <v>343</v>
      </c>
      <c r="F9" s="37">
        <v>17171</v>
      </c>
      <c r="G9" s="37">
        <v>13292</v>
      </c>
    </row>
    <row r="10" spans="1:10" x14ac:dyDescent="0.3">
      <c r="A10" s="49" t="s">
        <v>117</v>
      </c>
      <c r="B10" s="49">
        <v>291</v>
      </c>
      <c r="C10" s="49">
        <v>-18</v>
      </c>
      <c r="D10" s="49"/>
      <c r="E10" s="49" t="s">
        <v>117</v>
      </c>
      <c r="F10" s="49">
        <v>236</v>
      </c>
      <c r="G10" s="49">
        <v>254</v>
      </c>
    </row>
    <row r="11" spans="1:10" x14ac:dyDescent="0.3">
      <c r="A11" s="49"/>
      <c r="B11" s="49"/>
      <c r="C11" s="49"/>
      <c r="D11" s="49"/>
      <c r="E11" s="48" t="s">
        <v>382</v>
      </c>
      <c r="F11" s="53">
        <f>26309-SUM(F5:F10)</f>
        <v>364</v>
      </c>
      <c r="G11" s="53">
        <f>19796-SUM(G5:G10)</f>
        <v>674</v>
      </c>
    </row>
    <row r="12" spans="1:10" x14ac:dyDescent="0.3">
      <c r="A12" s="49"/>
      <c r="B12" s="49"/>
      <c r="C12" s="49"/>
      <c r="D12" s="49"/>
      <c r="E12" s="48"/>
      <c r="F12" s="50"/>
      <c r="G12" s="50"/>
    </row>
    <row r="13" spans="1:10" x14ac:dyDescent="0.3">
      <c r="A13" s="51" t="s">
        <v>344</v>
      </c>
      <c r="B13" s="52">
        <f>SUM(B5:B10)</f>
        <v>16389</v>
      </c>
      <c r="C13" s="52">
        <f>SUM(C5:C10)</f>
        <v>-75</v>
      </c>
      <c r="D13" s="52"/>
      <c r="E13" s="51" t="s">
        <v>344</v>
      </c>
      <c r="F13" s="52">
        <f>SUM(F5:F11)</f>
        <v>26309</v>
      </c>
      <c r="G13" s="52">
        <f>SUM(G5:G11)</f>
        <v>19796</v>
      </c>
    </row>
    <row r="14" spans="1:10" x14ac:dyDescent="0.3">
      <c r="A14" s="49"/>
      <c r="B14" s="49"/>
      <c r="C14" s="49"/>
      <c r="D14" s="49"/>
    </row>
    <row r="15" spans="1:10" x14ac:dyDescent="0.3">
      <c r="A15" s="83" t="s">
        <v>345</v>
      </c>
      <c r="B15" s="83"/>
      <c r="C15" s="83"/>
      <c r="D15" s="49"/>
      <c r="E15" s="49"/>
      <c r="F15" s="48"/>
      <c r="G15" s="48"/>
    </row>
    <row r="16" spans="1:10" x14ac:dyDescent="0.3">
      <c r="A16" s="48" t="s">
        <v>329</v>
      </c>
      <c r="B16" s="48"/>
      <c r="C16" s="48"/>
      <c r="D16" s="49"/>
      <c r="E16" s="49"/>
      <c r="F16" s="49"/>
      <c r="G16" s="49"/>
    </row>
    <row r="17" spans="1:7" x14ac:dyDescent="0.3">
      <c r="A17" s="48"/>
      <c r="B17" s="82" t="s">
        <v>330</v>
      </c>
      <c r="C17" s="82"/>
      <c r="D17" s="49"/>
      <c r="E17" s="51"/>
      <c r="F17" s="52"/>
      <c r="G17" s="52"/>
    </row>
    <row r="18" spans="1:7" x14ac:dyDescent="0.3">
      <c r="A18" s="48"/>
      <c r="B18" s="50" t="s">
        <v>332</v>
      </c>
      <c r="C18" s="50" t="s">
        <v>333</v>
      </c>
      <c r="D18" s="49"/>
      <c r="E18" s="49"/>
      <c r="F18" s="49"/>
      <c r="G18" s="49"/>
    </row>
    <row r="19" spans="1:7" x14ac:dyDescent="0.3">
      <c r="A19" s="48" t="s">
        <v>346</v>
      </c>
      <c r="B19" s="48">
        <v>4484</v>
      </c>
      <c r="C19" s="48">
        <v>-493</v>
      </c>
      <c r="D19" s="49"/>
      <c r="E19" s="48"/>
      <c r="F19" s="53"/>
      <c r="G19" s="53"/>
    </row>
    <row r="20" spans="1:7" x14ac:dyDescent="0.3">
      <c r="A20" s="48" t="s">
        <v>23</v>
      </c>
      <c r="B20" s="48">
        <v>1624</v>
      </c>
      <c r="C20" s="48">
        <v>-1075</v>
      </c>
      <c r="D20" s="49"/>
      <c r="E20" s="48"/>
      <c r="F20" s="50"/>
      <c r="G20" s="50"/>
    </row>
    <row r="21" spans="1:7" x14ac:dyDescent="0.3">
      <c r="A21" s="48" t="s">
        <v>116</v>
      </c>
      <c r="B21" s="48">
        <v>60.92</v>
      </c>
      <c r="C21" s="48">
        <v>155</v>
      </c>
      <c r="D21" s="49"/>
      <c r="E21" s="48"/>
      <c r="F21" s="48"/>
      <c r="G21" s="48"/>
    </row>
    <row r="22" spans="1:7" x14ac:dyDescent="0.3">
      <c r="A22" s="49" t="s">
        <v>343</v>
      </c>
      <c r="B22" s="49">
        <v>348</v>
      </c>
      <c r="C22" s="49">
        <v>372</v>
      </c>
      <c r="D22" s="49"/>
      <c r="E22" s="48"/>
      <c r="F22" s="48"/>
      <c r="G22" s="48"/>
    </row>
    <row r="23" spans="1:7" x14ac:dyDescent="0.3">
      <c r="A23" s="49" t="s">
        <v>117</v>
      </c>
      <c r="B23" s="49">
        <v>581</v>
      </c>
      <c r="C23" s="49">
        <v>477</v>
      </c>
      <c r="D23" s="49"/>
      <c r="E23" s="49"/>
      <c r="F23" s="48"/>
      <c r="G23" s="48"/>
    </row>
    <row r="24" spans="1:7" x14ac:dyDescent="0.3">
      <c r="A24" s="49"/>
      <c r="B24" s="49"/>
      <c r="C24" s="49"/>
      <c r="D24" s="49"/>
      <c r="E24" s="49"/>
      <c r="F24" s="49"/>
      <c r="G24" s="49"/>
    </row>
    <row r="25" spans="1:7" x14ac:dyDescent="0.3">
      <c r="A25" s="49"/>
      <c r="B25" s="49"/>
      <c r="C25" s="49"/>
      <c r="D25" s="49"/>
      <c r="E25" s="51"/>
      <c r="F25" s="52"/>
      <c r="G25" s="52"/>
    </row>
    <row r="26" spans="1:7" x14ac:dyDescent="0.3">
      <c r="A26" s="49"/>
      <c r="B26" s="49"/>
      <c r="C26" s="49"/>
      <c r="D26" s="49"/>
      <c r="E26" s="48"/>
      <c r="F26" s="48"/>
      <c r="G26" s="48"/>
    </row>
    <row r="27" spans="1:7" x14ac:dyDescent="0.3">
      <c r="A27" s="51" t="s">
        <v>344</v>
      </c>
      <c r="B27" s="52">
        <f>SUM(B19:B24)</f>
        <v>7097.92</v>
      </c>
      <c r="C27" s="52">
        <f>SUM(C19:C24)</f>
        <v>-564</v>
      </c>
      <c r="D27" s="49"/>
      <c r="E27" s="48"/>
      <c r="F27" s="48"/>
      <c r="G27" s="48"/>
    </row>
  </sheetData>
  <mergeCells count="6">
    <mergeCell ref="B17:C17"/>
    <mergeCell ref="A1:C1"/>
    <mergeCell ref="E1:G1"/>
    <mergeCell ref="B3:C3"/>
    <mergeCell ref="F3:G3"/>
    <mergeCell ref="A15:C15"/>
  </mergeCells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T Document" ma:contentTypeID="0x0101009C7065B11196274794EF741A40A6E5F400D26C7241FFF8474C88708DC917CE076A" ma:contentTypeVersion="38" ma:contentTypeDescription="Core metadata required on all Document Content Types used by Auckland Transport." ma:contentTypeScope="" ma:versionID="83d28370455c0ad302b404ae56c35549">
  <xsd:schema xmlns:xsd="http://www.w3.org/2001/XMLSchema" xmlns:xs="http://www.w3.org/2001/XMLSchema" xmlns:p="http://schemas.microsoft.com/office/2006/metadata/properties" xmlns:ns3="695b247c-e1a8-404d-9ab1-6820651cfa73" xmlns:ns4="6656246e-9127-47dc-83ec-dd09249a5dc8" targetNamespace="http://schemas.microsoft.com/office/2006/metadata/properties" ma:root="true" ma:fieldsID="122a38b343a80fee6adac8f68be3497c" ns3:_="" ns4:_="">
    <xsd:import namespace="695b247c-e1a8-404d-9ab1-6820651cfa73"/>
    <xsd:import namespace="6656246e-9127-47dc-83ec-dd09249a5dc8"/>
    <xsd:element name="properties">
      <xsd:complexType>
        <xsd:sequence>
          <xsd:element name="documentManagement">
            <xsd:complexType>
              <xsd:all>
                <xsd:element ref="ns3:db6c96b69cbd4d5883320ccb9273f0ba" minOccurs="0"/>
                <xsd:element ref="ns4:TaxCatchAll" minOccurs="0"/>
                <xsd:element ref="ns4:TaxCatchAllLabel" minOccurs="0"/>
                <xsd:element ref="ns3:i5b5140ea7094cbf99b2202c3f85b284" minOccurs="0"/>
                <xsd:element ref="ns3:Vital_x0020_Record" minOccurs="0"/>
                <xsd:element ref="ns3:Disposition_x0020_Status" minOccurs="0"/>
                <xsd:element ref="ns3: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b247c-e1a8-404d-9ab1-6820651cfa73" elementFormDefault="qualified">
    <xsd:import namespace="http://schemas.microsoft.com/office/2006/documentManagement/types"/>
    <xsd:import namespace="http://schemas.microsoft.com/office/infopath/2007/PartnerControls"/>
    <xsd:element name="db6c96b69cbd4d5883320ccb9273f0ba" ma:index="9" nillable="true" ma:taxonomy="true" ma:internalName="db6c96b69cbd4d5883320ccb9273f0ba" ma:taxonomyFieldName="Business_x0020_Unit" ma:displayName="Business Unit" ma:readOnly="false" ma:fieldId="{db6c96b6-9cbd-4d58-8332-0ccb9273f0ba}" ma:sspId="ff230ced-49e3-4bbb-87bd-09c1ed00c10a" ma:termSetId="eee8957c-7770-4efb-abbf-af700d6ea6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5b5140ea7094cbf99b2202c3f85b284" ma:index="13" nillable="true" ma:taxonomy="true" ma:internalName="i5b5140ea7094cbf99b2202c3f85b284" ma:taxonomyFieldName="RM_x0020_Context" ma:displayName="RM Context" ma:readOnly="false" ma:default="" ma:fieldId="{25b5140e-a709-4cbf-99b2-202c3f85b284}" ma:sspId="ff230ced-49e3-4bbb-87bd-09c1ed00c10a" ma:termSetId="0bbbe2ba-4696-4fa7-8f5e-85570df794ec" ma:anchorId="8199d194-e520-44fe-8a99-24eea720effa" ma:open="false" ma:isKeyword="false">
      <xsd:complexType>
        <xsd:sequence>
          <xsd:element ref="pc:Terms" minOccurs="0" maxOccurs="1"/>
        </xsd:sequence>
      </xsd:complexType>
    </xsd:element>
    <xsd:element name="Vital_x0020_Record" ma:index="15" nillable="true" ma:displayName="Vital Record" ma:default="0" ma:internalName="Vital_x0020_Record" ma:readOnly="false">
      <xsd:simpleType>
        <xsd:restriction base="dms:Boolean"/>
      </xsd:simpleType>
    </xsd:element>
    <xsd:element name="Disposition_x0020_Status" ma:index="16" nillable="true" ma:displayName="Disposition Status" ma:format="Dropdown" ma:hidden="true" ma:internalName="Disposition_x0020_Status" ma:readOnly="false">
      <xsd:simpleType>
        <xsd:restriction base="dms:Choice">
          <xsd:enumeration value="Approved"/>
          <xsd:enumeration value="Archived"/>
          <xsd:enumeration value="Destroyed"/>
          <xsd:enumeration value="Qualified"/>
          <xsd:enumeration value="Transferred"/>
          <xsd:enumeration value="Verified"/>
          <xsd:enumeration value="Unknown"/>
        </xsd:restriction>
      </xsd:simpleType>
    </xsd:element>
    <xsd:element name="Rights" ma:index="17" nillable="true" ma:displayName="Rights" ma:format="Dropdown" ma:hidden="true" ma:internalName="Rights" ma:readOnly="false">
      <xsd:simpleType>
        <xsd:restriction base="dms:Choice">
          <xsd:enumeration value="Auhtorised Public Access"/>
          <xsd:enumeration value="Embargoed"/>
          <xsd:enumeration value="Intellectual Property"/>
          <xsd:enumeration value="LGOIMA"/>
          <xsd:enumeration value="OIA"/>
          <xsd:enumeration value="Personal"/>
          <xsd:enumeration value="Privacy Act"/>
          <xsd:enumeration value="Taong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6246e-9127-47dc-83ec-dd09249a5dc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746e8a3-5d47-4ff0-952e-3423c7e0dee5}" ma:internalName="TaxCatchAll" ma:readOnly="false" ma:showField="CatchAllData" ma:web="695b247c-e1a8-404d-9ab1-6820651cf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d746e8a3-5d47-4ff0-952e-3423c7e0dee5}" ma:internalName="TaxCatchAllLabel" ma:readOnly="true" ma:showField="CatchAllDataLabel" ma:web="695b247c-e1a8-404d-9ab1-6820651cf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56246e-9127-47dc-83ec-dd09249a5dc8">
      <Value>2404</Value>
      <Value>327</Value>
      <Value>5227</Value>
      <Value>1537</Value>
      <Value>1397</Value>
    </TaxCatchAll>
    <Disposition_x0020_Status xmlns="695b247c-e1a8-404d-9ab1-6820651cfa73" xsi:nil="true"/>
    <db6c96b69cbd4d5883320ccb9273f0ba xmlns="695b247c-e1a8-404d-9ab1-6820651cfa73">
      <Terms xmlns="http://schemas.microsoft.com/office/infopath/2007/PartnerControls"/>
    </db6c96b69cbd4d5883320ccb9273f0ba>
    <i5b5140ea7094cbf99b2202c3f85b284 xmlns="695b247c-e1a8-404d-9ab1-6820651cfa73">
      <Terms xmlns="http://schemas.microsoft.com/office/infopath/2007/PartnerControls"/>
    </i5b5140ea7094cbf99b2202c3f85b284>
    <Vital_x0020_Record xmlns="695b247c-e1a8-404d-9ab1-6820651cfa73">false</Vital_x0020_Record>
    <Rights xmlns="695b247c-e1a8-404d-9ab1-6820651cfa73" xsi:nil="true"/>
  </documentManagement>
</p:properties>
</file>

<file path=customXml/itemProps1.xml><?xml version="1.0" encoding="utf-8"?>
<ds:datastoreItem xmlns:ds="http://schemas.openxmlformats.org/officeDocument/2006/customXml" ds:itemID="{19E9EC89-C0E2-482E-B100-85B2D6692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5b247c-e1a8-404d-9ab1-6820651cfa73"/>
    <ds:schemaRef ds:uri="6656246e-9127-47dc-83ec-dd09249a5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613D1-36FC-4C24-9B5A-70F0C83927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6FF15-763D-466A-A4C3-25D1D26D449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6656246e-9127-47dc-83ec-dd09249a5dc8"/>
    <ds:schemaRef ds:uri="http://schemas.openxmlformats.org/package/2006/metadata/core-properties"/>
    <ds:schemaRef ds:uri="695b247c-e1a8-404d-9ab1-6820651cfa7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MCA</vt:lpstr>
      <vt:lpstr>MCA raw</vt:lpstr>
      <vt:lpstr>Dem Cap</vt:lpstr>
      <vt:lpstr>DM Comp</vt:lpstr>
      <vt:lpstr>NW xt</vt:lpstr>
      <vt:lpstr>Southern Isthmus</vt:lpstr>
      <vt:lpstr>2nd East</vt:lpstr>
      <vt:lpstr>North Shore</vt:lpstr>
      <vt:lpstr>Ormiston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Holly Smith</dc:creator>
  <cp:keywords/>
  <dc:description/>
  <cp:lastModifiedBy>Sarah Barrett (AT)</cp:lastModifiedBy>
  <cp:revision/>
  <dcterms:created xsi:type="dcterms:W3CDTF">2021-06-09T22:45:11Z</dcterms:created>
  <dcterms:modified xsi:type="dcterms:W3CDTF">2023-08-21T03:32:31Z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0x0101009C7065B11196274794EF741A40A6E5F400D26C7241FFF8474C88708DC917CE076A</vt:lpwstr>
  </property>
  <property fmtid="{D5CDD505-2E9C-101B-9397-08002B2CF9AE}" pid="3" name="D1 Asset Type">
    <vt:lpwstr/>
  </property>
  <property fmtid="{D5CDD505-2E9C-101B-9397-08002B2CF9AE}" pid="4" name="D1 Document Category">
    <vt:lpwstr/>
  </property>
  <property fmtid="{D5CDD505-2E9C-101B-9397-08002B2CF9AE}" pid="5" name="D1 Instrument">
    <vt:lpwstr/>
  </property>
  <property fmtid="{D5CDD505-2E9C-101B-9397-08002B2CF9AE}" pid="6" name="D1 Programme Project">
    <vt:lpwstr>327;#Auckland Manukau Eastern Transport Initiative Programme|ce64a309-35f8-4b6b-8373-ab9f1c4736a5;#5227;#Census|ef43d20b-4d84-47d4-bd3e-0b688d37e669</vt:lpwstr>
  </property>
  <property fmtid="{D5CDD505-2E9C-101B-9397-08002B2CF9AE}" pid="7" name="D1 Asset Public Transport Network">
    <vt:lpwstr/>
  </property>
  <property fmtid="{D5CDD505-2E9C-101B-9397-08002B2CF9AE}" pid="8" name="D1 Asset Road Network">
    <vt:lpwstr/>
  </property>
  <property fmtid="{D5CDD505-2E9C-101B-9397-08002B2CF9AE}" pid="9" name="D1 Supplier">
    <vt:lpwstr>1537;#Unitec New Zealand|993ec0f4-c72c-4a43-aca4-028091f49a97</vt:lpwstr>
  </property>
  <property fmtid="{D5CDD505-2E9C-101B-9397-08002B2CF9AE}" pid="10" name="D1 Asset Property and Facilities">
    <vt:lpwstr/>
  </property>
  <property fmtid="{D5CDD505-2E9C-101B-9397-08002B2CF9AE}" pid="11" name="D1 Subject">
    <vt:lpwstr>2404;#Emissions|747e45d9-069d-4885-ad93-7ec1dbc7b840</vt:lpwstr>
  </property>
  <property fmtid="{D5CDD505-2E9C-101B-9397-08002B2CF9AE}" pid="12" name="D1 Financial Year">
    <vt:lpwstr/>
  </property>
  <property fmtid="{D5CDD505-2E9C-101B-9397-08002B2CF9AE}" pid="13" name="D1 Financial Period">
    <vt:lpwstr/>
  </property>
  <property fmtid="{D5CDD505-2E9C-101B-9397-08002B2CF9AE}" pid="14" name="h4cf016e856b4138912d21b15b6d5be0">
    <vt:lpwstr/>
  </property>
  <property fmtid="{D5CDD505-2E9C-101B-9397-08002B2CF9AE}" pid="15" name="fdcc1909682b4f7195ca127cead5555e">
    <vt:lpwstr/>
  </property>
  <property fmtid="{D5CDD505-2E9C-101B-9397-08002B2CF9AE}" pid="16" name="b0de3920f4cd4ea18242880155f05faf">
    <vt:lpwstr>Emissions|747e45d9-069d-4885-ad93-7ec1dbc7b840</vt:lpwstr>
  </property>
  <property fmtid="{D5CDD505-2E9C-101B-9397-08002B2CF9AE}" pid="17" name="kd23e268c5494b1f95609992f2abc0c8">
    <vt:lpwstr/>
  </property>
  <property fmtid="{D5CDD505-2E9C-101B-9397-08002B2CF9AE}" pid="18" name="gc1ff1cf355c41c8a6a2f1dd5abb0d5e">
    <vt:lpwstr>Unitec New Zealand|993ec0f4-c72c-4a43-aca4-028091f49a97</vt:lpwstr>
  </property>
  <property fmtid="{D5CDD505-2E9C-101B-9397-08002B2CF9AE}" pid="19" name="cc5a769fc25543cf84dda128f63b00c8">
    <vt:lpwstr>Auckland Manukau Eastern Transport Initiative Programme|ce64a309-35f8-4b6b-8373-ab9f1c4736a5;Census|ef43d20b-4d84-47d4-bd3e-0b688d37e669</vt:lpwstr>
  </property>
  <property fmtid="{D5CDD505-2E9C-101B-9397-08002B2CF9AE}" pid="20" name="l66efdee623f47d6bcca4977ff4a5a3f">
    <vt:lpwstr/>
  </property>
  <property fmtid="{D5CDD505-2E9C-101B-9397-08002B2CF9AE}" pid="21" name="Business Unit">
    <vt:lpwstr/>
  </property>
  <property fmtid="{D5CDD505-2E9C-101B-9397-08002B2CF9AE}" pid="22" name="RM Context">
    <vt:lpwstr/>
  </property>
  <property fmtid="{D5CDD505-2E9C-101B-9397-08002B2CF9AE}" pid="23" name="hb6454c4adb54244865793e31fde8085">
    <vt:lpwstr>Auckland Transport Board|d4f805e3-9934-4e59-9acf-ca41dd5ccc8f</vt:lpwstr>
  </property>
  <property fmtid="{D5CDD505-2E9C-101B-9397-08002B2CF9AE}" pid="24" name="MediaServiceImageTags">
    <vt:lpwstr/>
  </property>
  <property fmtid="{D5CDD505-2E9C-101B-9397-08002B2CF9AE}" pid="25" name="Image_x0020_Type">
    <vt:lpwstr/>
  </property>
  <property fmtid="{D5CDD505-2E9C-101B-9397-08002B2CF9AE}" pid="26" name="c50753cdb51a4c21b5b5241cbd14d8c7">
    <vt:lpwstr/>
  </property>
  <property fmtid="{D5CDD505-2E9C-101B-9397-08002B2CF9AE}" pid="27" name="je7065ab359741bdab5974a65126329d">
    <vt:lpwstr/>
  </property>
  <property fmtid="{D5CDD505-2E9C-101B-9397-08002B2CF9AE}" pid="28" name="D1 Disposal Class ID">
    <vt:lpwstr/>
  </property>
  <property fmtid="{D5CDD505-2E9C-101B-9397-08002B2CF9AE}" pid="29" name="o15c8438f37a4848b2d3439414785996">
    <vt:lpwstr/>
  </property>
  <property fmtid="{D5CDD505-2E9C-101B-9397-08002B2CF9AE}" pid="30" name="lea8139652f442cab35da41b8a24c53b">
    <vt:lpwstr/>
  </property>
  <property fmtid="{D5CDD505-2E9C-101B-9397-08002B2CF9AE}" pid="31" name="D1_x0020_Mandate">
    <vt:lpwstr/>
  </property>
  <property fmtid="{D5CDD505-2E9C-101B-9397-08002B2CF9AE}" pid="32" name="D1 Event">
    <vt:lpwstr/>
  </property>
  <property fmtid="{D5CDD505-2E9C-101B-9397-08002B2CF9AE}" pid="33" name="D1 Business Role">
    <vt:lpwstr/>
  </property>
  <property fmtid="{D5CDD505-2E9C-101B-9397-08002B2CF9AE}" pid="35" name="D1 Partners Stakeholders">
    <vt:lpwstr>1397;#Auckland Transport Board|d4f805e3-9934-4e59-9acf-ca41dd5ccc8f</vt:lpwstr>
  </property>
  <property fmtid="{D5CDD505-2E9C-101B-9397-08002B2CF9AE}" pid="36" name="lcf76f155ced4ddcb4097134ff3c332f">
    <vt:lpwstr/>
  </property>
  <property fmtid="{D5CDD505-2E9C-101B-9397-08002B2CF9AE}" pid="37" name="D1 Aggregation ID">
    <vt:lpwstr/>
  </property>
  <property fmtid="{D5CDD505-2E9C-101B-9397-08002B2CF9AE}" pid="38" name="D1 Mandate">
    <vt:lpwstr/>
  </property>
  <property fmtid="{D5CDD505-2E9C-101B-9397-08002B2CF9AE}" pid="39" name="Image Type">
    <vt:lpwstr/>
  </property>
</Properties>
</file>