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https://aucklandtransport.sharepoint.com/sites/CAMPBC2021/Shared Documents/CAM PBC - Working Drafts/PDFs/"/>
    </mc:Choice>
  </mc:AlternateContent>
  <xr:revisionPtr revIDLastSave="1" documentId="8_{B8F467E5-C63A-4286-8368-59594F395871}" xr6:coauthVersionLast="47" xr6:coauthVersionMax="47" xr10:uidLastSave="{108A1C96-1264-4F49-825F-131ACE86126E}"/>
  <workbookProtection workbookAlgorithmName="SHA-512" workbookHashValue="kVOm9P399b7uxWGvlIEgG49BcEGQI0kZlXFFwyXs3yq9qptIrrJn/SVVd0Vne3+l/KXjrfJJCSHOvS+6yDgxVw==" workbookSaltValue="evRCC7MKXW7AjwRavC6fLg==" workbookSpinCount="100000" lockStructure="1"/>
  <bookViews>
    <workbookView xWindow="-120" yWindow="-120" windowWidth="29040" windowHeight="15840" firstSheet="3" activeTab="2" xr2:uid="{8F0ECA6C-11D7-4A20-A170-A818FF173578}"/>
  </bookViews>
  <sheets>
    <sheet name="How to use" sheetId="7" r:id="rId1"/>
    <sheet name="Lookup" sheetId="2" r:id="rId2"/>
    <sheet name="INPUTS" sheetId="1" r:id="rId3"/>
    <sheet name="OUTPUTS" sheetId="17" r:id="rId4"/>
    <sheet name="Route Priority" sheetId="3" r:id="rId5"/>
    <sheet name="Proxy BCR priority" sheetId="9" r:id="rId6"/>
    <sheet name="Demand priority" sheetId="6" r:id="rId7"/>
    <sheet name="Sensitivity" sheetId="22" r:id="rId8"/>
    <sheet name="Sensitivity summary" sheetId="21" r:id="rId9"/>
  </sheets>
  <definedNames>
    <definedName name="_xlnm._FilterDatabase" localSheetId="2" hidden="1">INPUTS!$A$1:$AH$179</definedName>
    <definedName name="_xlnm._FilterDatabase" localSheetId="3" hidden="1">OUTPUTS!$A$1:$N$178</definedName>
    <definedName name="_xlnm._FilterDatabase" localSheetId="7" hidden="1">Sensitivity!$A$1:$H$178</definedName>
  </definedNames>
  <calcPr calcId="191028"/>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179" i="1" l="1"/>
  <c r="AE179" i="1"/>
  <c r="Q179" i="1"/>
  <c r="N179" i="1"/>
  <c r="R179" i="1" s="1"/>
  <c r="L179" i="1"/>
  <c r="M179" i="1" s="1"/>
  <c r="Z179" i="1" s="1"/>
  <c r="J179" i="1"/>
  <c r="G179" i="1"/>
  <c r="G3" i="21"/>
  <c r="G4" i="21"/>
  <c r="G5" i="21"/>
  <c r="G6" i="21"/>
  <c r="G7" i="21"/>
  <c r="G8" i="21"/>
  <c r="G9" i="21"/>
  <c r="G10" i="21"/>
  <c r="G11" i="21"/>
  <c r="G12" i="21"/>
  <c r="G13" i="21"/>
  <c r="G14" i="21"/>
  <c r="G15" i="21"/>
  <c r="G16" i="21"/>
  <c r="G17" i="21"/>
  <c r="G18" i="21"/>
  <c r="G19" i="21"/>
  <c r="G20" i="21"/>
  <c r="G21" i="21"/>
  <c r="G22" i="21"/>
  <c r="G23" i="21"/>
  <c r="G24" i="21"/>
  <c r="G25" i="21"/>
  <c r="G2" i="21"/>
  <c r="AD179" i="1" l="1"/>
  <c r="AB179" i="1"/>
  <c r="AE24" i="1"/>
  <c r="AC24" i="1"/>
  <c r="C12" i="17"/>
  <c r="M3" i="1"/>
  <c r="Z3" i="1" s="1"/>
  <c r="AB3" i="1" s="1"/>
  <c r="AF179" i="1" l="1"/>
  <c r="AC4" i="1"/>
  <c r="AE4" i="1"/>
  <c r="AC5" i="1"/>
  <c r="AE5" i="1"/>
  <c r="AC44" i="1"/>
  <c r="AE44" i="1"/>
  <c r="AC6" i="1"/>
  <c r="AE6" i="1"/>
  <c r="AC7" i="1"/>
  <c r="AE7" i="1"/>
  <c r="AC8" i="1"/>
  <c r="AE8" i="1"/>
  <c r="AC9" i="1"/>
  <c r="AE9" i="1"/>
  <c r="AC10" i="1"/>
  <c r="AE10" i="1"/>
  <c r="AC11" i="1"/>
  <c r="AE11" i="1"/>
  <c r="AC12" i="1"/>
  <c r="AE12" i="1"/>
  <c r="AC13" i="1"/>
  <c r="AE13" i="1"/>
  <c r="AC14" i="1"/>
  <c r="AE14" i="1"/>
  <c r="AC15" i="1"/>
  <c r="AE15" i="1"/>
  <c r="AC16" i="1"/>
  <c r="AE16" i="1"/>
  <c r="AC17" i="1"/>
  <c r="AE17" i="1"/>
  <c r="AC18" i="1"/>
  <c r="AE18" i="1"/>
  <c r="AC19" i="1"/>
  <c r="AE19" i="1"/>
  <c r="AC20" i="1"/>
  <c r="AE20" i="1"/>
  <c r="AC21" i="1"/>
  <c r="AE21" i="1"/>
  <c r="AC22" i="1"/>
  <c r="AE22" i="1"/>
  <c r="AC23" i="1"/>
  <c r="AE23" i="1"/>
  <c r="AB25" i="1"/>
  <c r="AC25" i="1"/>
  <c r="AD25" i="1"/>
  <c r="AE25" i="1"/>
  <c r="AC26" i="1"/>
  <c r="AE26" i="1"/>
  <c r="AC27" i="1"/>
  <c r="AE27" i="1"/>
  <c r="AC28" i="1"/>
  <c r="AE28" i="1"/>
  <c r="AC29" i="1"/>
  <c r="AE29" i="1"/>
  <c r="AC30" i="1"/>
  <c r="AE30" i="1"/>
  <c r="AC31" i="1"/>
  <c r="AE31" i="1"/>
  <c r="AC32" i="1"/>
  <c r="AE32" i="1"/>
  <c r="AC33" i="1"/>
  <c r="AE33" i="1"/>
  <c r="AC34" i="1"/>
  <c r="AE34" i="1"/>
  <c r="AC35" i="1"/>
  <c r="AE35" i="1"/>
  <c r="AC36" i="1"/>
  <c r="AE36" i="1"/>
  <c r="AC37" i="1"/>
  <c r="AE37" i="1"/>
  <c r="AC38" i="1"/>
  <c r="AE38" i="1"/>
  <c r="AC39" i="1"/>
  <c r="AE39" i="1"/>
  <c r="AC40" i="1"/>
  <c r="AE40" i="1"/>
  <c r="AB41" i="1"/>
  <c r="AC41" i="1"/>
  <c r="AD41" i="1"/>
  <c r="AE41" i="1"/>
  <c r="AC42" i="1"/>
  <c r="AE42" i="1"/>
  <c r="AC43" i="1"/>
  <c r="AE43" i="1"/>
  <c r="AC45" i="1"/>
  <c r="AE45" i="1"/>
  <c r="AC46" i="1"/>
  <c r="AE46" i="1"/>
  <c r="AC47" i="1"/>
  <c r="AE47" i="1"/>
  <c r="AC48" i="1"/>
  <c r="AE48" i="1"/>
  <c r="AC49" i="1"/>
  <c r="AE49" i="1"/>
  <c r="AB50" i="1"/>
  <c r="AC50" i="1"/>
  <c r="AD50" i="1"/>
  <c r="AE50" i="1"/>
  <c r="AC51" i="1"/>
  <c r="AE51" i="1"/>
  <c r="AB52" i="1"/>
  <c r="AC52" i="1"/>
  <c r="AD52" i="1"/>
  <c r="AE52" i="1"/>
  <c r="AC53" i="1"/>
  <c r="AE53" i="1"/>
  <c r="AC54" i="1"/>
  <c r="AE54" i="1"/>
  <c r="AC55" i="1"/>
  <c r="AE55" i="1"/>
  <c r="AC56" i="1"/>
  <c r="AE56" i="1"/>
  <c r="AC57" i="1"/>
  <c r="AE57" i="1"/>
  <c r="AC58" i="1"/>
  <c r="AE58" i="1"/>
  <c r="AC59" i="1"/>
  <c r="AE59" i="1"/>
  <c r="AC60" i="1"/>
  <c r="AE60" i="1"/>
  <c r="AC61" i="1"/>
  <c r="AE61" i="1"/>
  <c r="AC62" i="1"/>
  <c r="AE62" i="1"/>
  <c r="AC63" i="1"/>
  <c r="AE63" i="1"/>
  <c r="AC64" i="1"/>
  <c r="AE64" i="1"/>
  <c r="AC65" i="1"/>
  <c r="AE65" i="1"/>
  <c r="AC66" i="1"/>
  <c r="AE66" i="1"/>
  <c r="AB67" i="1"/>
  <c r="AC67" i="1"/>
  <c r="AD67" i="1"/>
  <c r="AE67" i="1"/>
  <c r="AC68" i="1"/>
  <c r="AE68" i="1"/>
  <c r="AC69" i="1"/>
  <c r="AE69" i="1"/>
  <c r="AB70" i="1"/>
  <c r="AC70" i="1"/>
  <c r="AD70" i="1"/>
  <c r="AE70" i="1"/>
  <c r="AC71" i="1"/>
  <c r="AE71" i="1"/>
  <c r="AC72" i="1"/>
  <c r="AE72" i="1"/>
  <c r="AC73" i="1"/>
  <c r="AE73" i="1"/>
  <c r="AC74" i="1"/>
  <c r="AE74" i="1"/>
  <c r="AC75" i="1"/>
  <c r="AE75" i="1"/>
  <c r="AC76" i="1"/>
  <c r="AE76" i="1"/>
  <c r="AC77" i="1"/>
  <c r="AE77" i="1"/>
  <c r="AC78" i="1"/>
  <c r="AE78" i="1"/>
  <c r="AC79" i="1"/>
  <c r="AE79" i="1"/>
  <c r="AB80" i="1"/>
  <c r="AC80" i="1"/>
  <c r="AD80" i="1"/>
  <c r="AE80" i="1"/>
  <c r="AC81" i="1"/>
  <c r="AE81" i="1"/>
  <c r="AC82" i="1"/>
  <c r="AE82" i="1"/>
  <c r="AC83" i="1"/>
  <c r="AE83" i="1"/>
  <c r="AC84" i="1"/>
  <c r="AE84" i="1"/>
  <c r="AC85" i="1"/>
  <c r="AE85" i="1"/>
  <c r="AC86" i="1"/>
  <c r="AE86" i="1"/>
  <c r="AC87" i="1"/>
  <c r="AE87" i="1"/>
  <c r="AC88" i="1"/>
  <c r="AE88" i="1"/>
  <c r="AC89" i="1"/>
  <c r="AE89" i="1"/>
  <c r="AC90" i="1"/>
  <c r="AE90" i="1"/>
  <c r="AC91" i="1"/>
  <c r="AE91" i="1"/>
  <c r="AC92" i="1"/>
  <c r="AE92" i="1"/>
  <c r="AC93" i="1"/>
  <c r="AE93" i="1"/>
  <c r="AC94" i="1"/>
  <c r="AE94" i="1"/>
  <c r="AC95" i="1"/>
  <c r="AE95" i="1"/>
  <c r="AC96" i="1"/>
  <c r="AE96" i="1"/>
  <c r="AC97" i="1"/>
  <c r="AE97" i="1"/>
  <c r="AC98" i="1"/>
  <c r="AE98" i="1"/>
  <c r="AC99" i="1"/>
  <c r="AE99" i="1"/>
  <c r="AC100" i="1"/>
  <c r="AE100" i="1"/>
  <c r="AC101" i="1"/>
  <c r="AE101" i="1"/>
  <c r="AC102" i="1"/>
  <c r="AE102" i="1"/>
  <c r="AC103" i="1"/>
  <c r="AE103" i="1"/>
  <c r="AC104" i="1"/>
  <c r="AE104" i="1"/>
  <c r="AC105" i="1"/>
  <c r="AE105" i="1"/>
  <c r="AC106" i="1"/>
  <c r="AE106" i="1"/>
  <c r="AC107" i="1"/>
  <c r="AE107" i="1"/>
  <c r="AC108" i="1"/>
  <c r="AE108" i="1"/>
  <c r="AC109" i="1"/>
  <c r="AE109" i="1"/>
  <c r="AC110" i="1"/>
  <c r="AE110" i="1"/>
  <c r="AC111" i="1"/>
  <c r="AE111" i="1"/>
  <c r="AC112" i="1"/>
  <c r="AE112" i="1"/>
  <c r="AC113" i="1"/>
  <c r="AE113" i="1"/>
  <c r="AC114" i="1"/>
  <c r="AE114" i="1"/>
  <c r="L114" i="17" s="1"/>
  <c r="AC115" i="1"/>
  <c r="AE115" i="1"/>
  <c r="AC116" i="1"/>
  <c r="AE116" i="1"/>
  <c r="AC117" i="1"/>
  <c r="AE117" i="1"/>
  <c r="AC118" i="1"/>
  <c r="AE118" i="1"/>
  <c r="AC119" i="1"/>
  <c r="AE119" i="1"/>
  <c r="AC120" i="1"/>
  <c r="AE120" i="1"/>
  <c r="AC121" i="1"/>
  <c r="AE121" i="1"/>
  <c r="AC122" i="1"/>
  <c r="AE122" i="1"/>
  <c r="AC123" i="1"/>
  <c r="AE123" i="1"/>
  <c r="AC124" i="1"/>
  <c r="AE124" i="1"/>
  <c r="AC125" i="1"/>
  <c r="AE125" i="1"/>
  <c r="AC126" i="1"/>
  <c r="AE126" i="1"/>
  <c r="AC127" i="1"/>
  <c r="AE127" i="1"/>
  <c r="AC128" i="1"/>
  <c r="AE128" i="1"/>
  <c r="AC129" i="1"/>
  <c r="AE129" i="1"/>
  <c r="AC130" i="1"/>
  <c r="AE130" i="1"/>
  <c r="AC131" i="1"/>
  <c r="AE131" i="1"/>
  <c r="AC132" i="1"/>
  <c r="AE132" i="1"/>
  <c r="AC133" i="1"/>
  <c r="AE133" i="1"/>
  <c r="AC134" i="1"/>
  <c r="AE134" i="1"/>
  <c r="AC135" i="1"/>
  <c r="AE135" i="1"/>
  <c r="AC136" i="1"/>
  <c r="AE136" i="1"/>
  <c r="AC137" i="1"/>
  <c r="AE137" i="1"/>
  <c r="AC138" i="1"/>
  <c r="AE138" i="1"/>
  <c r="AC139" i="1"/>
  <c r="AE139" i="1"/>
  <c r="AC140" i="1"/>
  <c r="AE140" i="1"/>
  <c r="AC141" i="1"/>
  <c r="AE141" i="1"/>
  <c r="AC142" i="1"/>
  <c r="AE142" i="1"/>
  <c r="AC143" i="1"/>
  <c r="AE143" i="1"/>
  <c r="AC144" i="1"/>
  <c r="AE144" i="1"/>
  <c r="AC145" i="1"/>
  <c r="AE145" i="1"/>
  <c r="AC146" i="1"/>
  <c r="AE146" i="1"/>
  <c r="AC147" i="1"/>
  <c r="AE147" i="1"/>
  <c r="AC148" i="1"/>
  <c r="J148" i="17" s="1"/>
  <c r="AE148" i="1"/>
  <c r="AC149" i="1"/>
  <c r="AE149" i="1"/>
  <c r="AC150" i="1"/>
  <c r="AE150" i="1"/>
  <c r="AC151" i="1"/>
  <c r="AE151" i="1"/>
  <c r="AC152" i="1"/>
  <c r="AE152" i="1"/>
  <c r="AC153" i="1"/>
  <c r="J153" i="17" s="1"/>
  <c r="AE153" i="1"/>
  <c r="AC154" i="1"/>
  <c r="AE154" i="1"/>
  <c r="AC155" i="1"/>
  <c r="AE155" i="1"/>
  <c r="AC156" i="1"/>
  <c r="AE156" i="1"/>
  <c r="AC157" i="1"/>
  <c r="AE157" i="1"/>
  <c r="AC158" i="1"/>
  <c r="AE158" i="1"/>
  <c r="AC159" i="1"/>
  <c r="AE159" i="1"/>
  <c r="AC160" i="1"/>
  <c r="AE160" i="1"/>
  <c r="AC161" i="1"/>
  <c r="AE161" i="1"/>
  <c r="AC162" i="1"/>
  <c r="AE162" i="1"/>
  <c r="AC163" i="1"/>
  <c r="AE163" i="1"/>
  <c r="AC164" i="1"/>
  <c r="AE164" i="1"/>
  <c r="AC165" i="1"/>
  <c r="AE165" i="1"/>
  <c r="AC166" i="1"/>
  <c r="AE166" i="1"/>
  <c r="AC167" i="1"/>
  <c r="AE167" i="1"/>
  <c r="AC168" i="1"/>
  <c r="AE168" i="1"/>
  <c r="AC169" i="1"/>
  <c r="AE169" i="1"/>
  <c r="AC170" i="1"/>
  <c r="AE170" i="1"/>
  <c r="AC171" i="1"/>
  <c r="AE171" i="1"/>
  <c r="AC172" i="1"/>
  <c r="J172" i="17" s="1"/>
  <c r="AE172" i="1"/>
  <c r="AC173" i="1"/>
  <c r="AE173" i="1"/>
  <c r="AC174" i="1"/>
  <c r="J174" i="17" s="1"/>
  <c r="AE174" i="1"/>
  <c r="AC175" i="1"/>
  <c r="AE175" i="1"/>
  <c r="AC176" i="1"/>
  <c r="AE176" i="1"/>
  <c r="AC177" i="1"/>
  <c r="AE177" i="1"/>
  <c r="AC178" i="1"/>
  <c r="AE178" i="1"/>
  <c r="AE3" i="1"/>
  <c r="AD3" i="1"/>
  <c r="AC3" i="1"/>
  <c r="J100" i="17" l="1"/>
  <c r="L176" i="17"/>
  <c r="L154" i="17"/>
  <c r="J178" i="17"/>
  <c r="J176" i="17"/>
  <c r="J154" i="17"/>
  <c r="J114" i="17"/>
  <c r="J94" i="17"/>
  <c r="L178" i="17"/>
  <c r="L174" i="17"/>
  <c r="L172" i="17"/>
  <c r="L148" i="17"/>
  <c r="L100" i="17"/>
  <c r="L94" i="17"/>
  <c r="L153" i="17"/>
  <c r="L92" i="17"/>
  <c r="J92" i="17"/>
  <c r="L170" i="17"/>
  <c r="L166" i="17"/>
  <c r="L162" i="17"/>
  <c r="L156" i="17"/>
  <c r="L152" i="17"/>
  <c r="L150" i="17"/>
  <c r="L146" i="17"/>
  <c r="L138" i="17"/>
  <c r="L118" i="17"/>
  <c r="L106" i="17"/>
  <c r="L84" i="17"/>
  <c r="J3" i="17"/>
  <c r="J170" i="17"/>
  <c r="J166" i="17"/>
  <c r="J162" i="17"/>
  <c r="J156" i="17"/>
  <c r="J152" i="17"/>
  <c r="J150" i="17"/>
  <c r="J146" i="17"/>
  <c r="J138" i="17"/>
  <c r="J118" i="17"/>
  <c r="J106" i="17"/>
  <c r="J84" i="17"/>
  <c r="J55" i="17"/>
  <c r="J168" i="17"/>
  <c r="L171" i="17"/>
  <c r="L163" i="17"/>
  <c r="L83" i="17"/>
  <c r="J171" i="17"/>
  <c r="J163" i="17"/>
  <c r="J83" i="17"/>
  <c r="L168" i="17"/>
  <c r="L164" i="17"/>
  <c r="L160" i="17"/>
  <c r="L158" i="17"/>
  <c r="L136" i="17"/>
  <c r="L134" i="17"/>
  <c r="L126" i="17"/>
  <c r="L102" i="17"/>
  <c r="J164" i="17"/>
  <c r="J160" i="17"/>
  <c r="J158" i="17"/>
  <c r="J136" i="17"/>
  <c r="J134" i="17"/>
  <c r="J126" i="17"/>
  <c r="J102" i="17"/>
  <c r="L137" i="17"/>
  <c r="L135" i="17"/>
  <c r="L133" i="17"/>
  <c r="L115" i="17"/>
  <c r="L103" i="17"/>
  <c r="L18" i="17"/>
  <c r="L16" i="17"/>
  <c r="J137" i="17"/>
  <c r="J135" i="17"/>
  <c r="J133" i="17"/>
  <c r="J115" i="17"/>
  <c r="J18" i="17"/>
  <c r="J16" i="17"/>
  <c r="L124" i="17"/>
  <c r="L116" i="17"/>
  <c r="L104" i="17"/>
  <c r="L90" i="17"/>
  <c r="L88" i="17"/>
  <c r="L42" i="17"/>
  <c r="L39" i="17"/>
  <c r="L37" i="17"/>
  <c r="J124" i="17"/>
  <c r="J116" i="17"/>
  <c r="J104" i="17"/>
  <c r="J90" i="17"/>
  <c r="J88" i="17"/>
  <c r="J39" i="17"/>
  <c r="L10" i="17"/>
  <c r="J10" i="17"/>
  <c r="L140" i="17"/>
  <c r="L71" i="17"/>
  <c r="L68" i="17"/>
  <c r="J67" i="17"/>
  <c r="L50" i="17"/>
  <c r="J41" i="17"/>
  <c r="L29" i="17"/>
  <c r="L27" i="17"/>
  <c r="J140" i="17"/>
  <c r="J71" i="17"/>
  <c r="J68" i="17"/>
  <c r="J42" i="17"/>
  <c r="J29" i="17"/>
  <c r="J27" i="17"/>
  <c r="L120" i="17"/>
  <c r="L98" i="17"/>
  <c r="L86" i="17"/>
  <c r="L63" i="17"/>
  <c r="L59" i="17"/>
  <c r="L55" i="17"/>
  <c r="L45" i="17"/>
  <c r="L35" i="17"/>
  <c r="L24" i="17"/>
  <c r="L14" i="17"/>
  <c r="L8" i="17"/>
  <c r="J120" i="17"/>
  <c r="J98" i="17"/>
  <c r="J86" i="17"/>
  <c r="J63" i="17"/>
  <c r="J59" i="17"/>
  <c r="J37" i="17"/>
  <c r="J8" i="17"/>
  <c r="L177" i="17"/>
  <c r="L173" i="17"/>
  <c r="L169" i="17"/>
  <c r="L167" i="17"/>
  <c r="L157" i="17"/>
  <c r="L155" i="17"/>
  <c r="L145" i="17"/>
  <c r="L125" i="17"/>
  <c r="L123" i="17"/>
  <c r="L117" i="17"/>
  <c r="L105" i="17"/>
  <c r="L99" i="17"/>
  <c r="L97" i="17"/>
  <c r="L93" i="17"/>
  <c r="L91" i="17"/>
  <c r="L87" i="17"/>
  <c r="L64" i="17"/>
  <c r="L62" i="17"/>
  <c r="L60" i="17"/>
  <c r="L56" i="17"/>
  <c r="L40" i="17"/>
  <c r="L36" i="17"/>
  <c r="L34" i="17"/>
  <c r="L13" i="17"/>
  <c r="L122" i="17"/>
  <c r="L96" i="17"/>
  <c r="L65" i="17"/>
  <c r="L61" i="17"/>
  <c r="L57" i="17"/>
  <c r="L5" i="17"/>
  <c r="J122" i="17"/>
  <c r="J96" i="17"/>
  <c r="J65" i="17"/>
  <c r="J61" i="17"/>
  <c r="J57" i="17"/>
  <c r="J45" i="17"/>
  <c r="J35" i="17"/>
  <c r="J24" i="17"/>
  <c r="J14" i="17"/>
  <c r="L3" i="17"/>
  <c r="J177" i="17"/>
  <c r="J173" i="17"/>
  <c r="J169" i="17"/>
  <c r="J167" i="17"/>
  <c r="J157" i="17"/>
  <c r="J155" i="17"/>
  <c r="J145" i="17"/>
  <c r="J125" i="17"/>
  <c r="J123" i="17"/>
  <c r="J117" i="17"/>
  <c r="J105" i="17"/>
  <c r="J103" i="17"/>
  <c r="J99" i="17"/>
  <c r="J97" i="17"/>
  <c r="J93" i="17"/>
  <c r="J91" i="17"/>
  <c r="J87" i="17"/>
  <c r="J85" i="17"/>
  <c r="J64" i="17"/>
  <c r="J62" i="17"/>
  <c r="J60" i="17"/>
  <c r="J56" i="17"/>
  <c r="J40" i="17"/>
  <c r="J36" i="17"/>
  <c r="J34" i="17"/>
  <c r="J13" i="17"/>
  <c r="J144" i="17"/>
  <c r="J142" i="17"/>
  <c r="J132" i="17"/>
  <c r="J130" i="17"/>
  <c r="J128" i="17"/>
  <c r="J112" i="17"/>
  <c r="J110" i="17"/>
  <c r="J108" i="17"/>
  <c r="J82" i="17"/>
  <c r="J79" i="17"/>
  <c r="J77" i="17"/>
  <c r="J75" i="17"/>
  <c r="J73" i="17"/>
  <c r="J53" i="17"/>
  <c r="J49" i="17"/>
  <c r="J47" i="17"/>
  <c r="J33" i="17"/>
  <c r="J31" i="17"/>
  <c r="J22" i="17"/>
  <c r="J20" i="17"/>
  <c r="J12" i="17"/>
  <c r="J6" i="17"/>
  <c r="J5" i="17"/>
  <c r="L175" i="17"/>
  <c r="L165" i="17"/>
  <c r="L161" i="17"/>
  <c r="L159" i="17"/>
  <c r="L151" i="17"/>
  <c r="L149" i="17"/>
  <c r="L147" i="17"/>
  <c r="L143" i="17"/>
  <c r="L141" i="17"/>
  <c r="L139" i="17"/>
  <c r="L131" i="17"/>
  <c r="L129" i="17"/>
  <c r="L127" i="17"/>
  <c r="L121" i="17"/>
  <c r="L119" i="17"/>
  <c r="L113" i="17"/>
  <c r="L111" i="17"/>
  <c r="L109" i="17"/>
  <c r="L107" i="17"/>
  <c r="L101" i="17"/>
  <c r="L95" i="17"/>
  <c r="L89" i="17"/>
  <c r="L85" i="17"/>
  <c r="L81" i="17"/>
  <c r="J80" i="17"/>
  <c r="L78" i="17"/>
  <c r="L76" i="17"/>
  <c r="L74" i="17"/>
  <c r="L72" i="17"/>
  <c r="L70" i="17"/>
  <c r="L69" i="17"/>
  <c r="L67" i="17"/>
  <c r="L66" i="17"/>
  <c r="L58" i="17"/>
  <c r="L54" i="17"/>
  <c r="L52" i="17"/>
  <c r="L51" i="17"/>
  <c r="J50" i="17"/>
  <c r="L48" i="17"/>
  <c r="L46" i="17"/>
  <c r="L43" i="17"/>
  <c r="L41" i="17"/>
  <c r="L38" i="17"/>
  <c r="L32" i="17"/>
  <c r="L30" i="17"/>
  <c r="L28" i="17"/>
  <c r="L26" i="17"/>
  <c r="J25" i="17"/>
  <c r="L23" i="17"/>
  <c r="L21" i="17"/>
  <c r="L19" i="17"/>
  <c r="L17" i="17"/>
  <c r="L15" i="17"/>
  <c r="L11" i="17"/>
  <c r="L9" i="17"/>
  <c r="L7" i="17"/>
  <c r="L44" i="17"/>
  <c r="L4" i="17"/>
  <c r="J175" i="17"/>
  <c r="J165" i="17"/>
  <c r="J161" i="17"/>
  <c r="J159" i="17"/>
  <c r="J151" i="17"/>
  <c r="J149" i="17"/>
  <c r="J147" i="17"/>
  <c r="J143" i="17"/>
  <c r="J141" i="17"/>
  <c r="J139" i="17"/>
  <c r="J131" i="17"/>
  <c r="J129" i="17"/>
  <c r="J127" i="17"/>
  <c r="J121" i="17"/>
  <c r="J119" i="17"/>
  <c r="J113" i="17"/>
  <c r="J111" i="17"/>
  <c r="J109" i="17"/>
  <c r="J107" i="17"/>
  <c r="J101" i="17"/>
  <c r="J95" i="17"/>
  <c r="J89" i="17"/>
  <c r="J81" i="17"/>
  <c r="J78" i="17"/>
  <c r="J76" i="17"/>
  <c r="J74" i="17"/>
  <c r="J72" i="17"/>
  <c r="J69" i="17"/>
  <c r="J66" i="17"/>
  <c r="J58" i="17"/>
  <c r="J54" i="17"/>
  <c r="J51" i="17"/>
  <c r="J48" i="17"/>
  <c r="J46" i="17"/>
  <c r="J43" i="17"/>
  <c r="J38" i="17"/>
  <c r="J32" i="17"/>
  <c r="J30" i="17"/>
  <c r="J28" i="17"/>
  <c r="J26" i="17"/>
  <c r="J23" i="17"/>
  <c r="J21" i="17"/>
  <c r="J19" i="17"/>
  <c r="J17" i="17"/>
  <c r="J15" i="17"/>
  <c r="J11" i="17"/>
  <c r="J9" i="17"/>
  <c r="J7" i="17"/>
  <c r="J44" i="17"/>
  <c r="J4" i="17"/>
  <c r="L144" i="17"/>
  <c r="L142" i="17"/>
  <c r="L132" i="17"/>
  <c r="L130" i="17"/>
  <c r="L128" i="17"/>
  <c r="L112" i="17"/>
  <c r="L110" i="17"/>
  <c r="L108" i="17"/>
  <c r="L82" i="17"/>
  <c r="L80" i="17"/>
  <c r="L79" i="17"/>
  <c r="L77" i="17"/>
  <c r="L75" i="17"/>
  <c r="L73" i="17"/>
  <c r="J70" i="17"/>
  <c r="L53" i="17"/>
  <c r="J52" i="17"/>
  <c r="L49" i="17"/>
  <c r="L47" i="17"/>
  <c r="L33" i="17"/>
  <c r="L31" i="17"/>
  <c r="L25" i="17"/>
  <c r="L22" i="17"/>
  <c r="L20" i="17"/>
  <c r="L12" i="17"/>
  <c r="L6" i="17"/>
  <c r="AF41" i="1"/>
  <c r="AF50" i="1"/>
  <c r="AF3" i="1"/>
  <c r="AF80" i="1"/>
  <c r="AF70" i="1"/>
  <c r="AF67" i="1"/>
  <c r="AF52" i="1"/>
  <c r="AF25" i="1"/>
  <c r="L38" i="1"/>
  <c r="H178" i="17"/>
  <c r="H4" i="17"/>
  <c r="H5" i="17"/>
  <c r="H6" i="17"/>
  <c r="H7" i="17"/>
  <c r="H8" i="17"/>
  <c r="H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50"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H76" i="17"/>
  <c r="H77" i="17"/>
  <c r="H78" i="17"/>
  <c r="H79" i="17"/>
  <c r="H80" i="17"/>
  <c r="H81" i="17"/>
  <c r="H82" i="17"/>
  <c r="H83" i="17"/>
  <c r="H84" i="17"/>
  <c r="H85" i="17"/>
  <c r="H86" i="17"/>
  <c r="H87" i="17"/>
  <c r="H88" i="17"/>
  <c r="H89" i="17"/>
  <c r="H90" i="17"/>
  <c r="H91" i="17"/>
  <c r="H92" i="17"/>
  <c r="H93" i="17"/>
  <c r="H94" i="17"/>
  <c r="H95" i="17"/>
  <c r="H96" i="17"/>
  <c r="H97" i="17"/>
  <c r="H98" i="17"/>
  <c r="H99" i="17"/>
  <c r="H100" i="17"/>
  <c r="H101" i="17"/>
  <c r="H102" i="17"/>
  <c r="H103" i="17"/>
  <c r="H104" i="17"/>
  <c r="H105" i="17"/>
  <c r="H106" i="17"/>
  <c r="H107" i="17"/>
  <c r="H108" i="17"/>
  <c r="H109" i="17"/>
  <c r="H110" i="17"/>
  <c r="H111" i="17"/>
  <c r="H112" i="17"/>
  <c r="H113" i="17"/>
  <c r="H114" i="17"/>
  <c r="H115" i="17"/>
  <c r="H116" i="17"/>
  <c r="H117" i="17"/>
  <c r="H118" i="17"/>
  <c r="H119" i="17"/>
  <c r="H120" i="17"/>
  <c r="H121" i="17"/>
  <c r="H122" i="17"/>
  <c r="H123" i="17"/>
  <c r="H124" i="17"/>
  <c r="H125" i="17"/>
  <c r="H126" i="17"/>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F4" i="17"/>
  <c r="F5" i="17"/>
  <c r="F6" i="17"/>
  <c r="F7" i="17"/>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F157" i="17"/>
  <c r="F158" i="17"/>
  <c r="F159" i="17"/>
  <c r="F160" i="17"/>
  <c r="F161" i="17"/>
  <c r="F162" i="17"/>
  <c r="F163" i="17"/>
  <c r="F164" i="17"/>
  <c r="F165" i="17"/>
  <c r="F166" i="17"/>
  <c r="F167" i="17"/>
  <c r="F168" i="17"/>
  <c r="F169" i="17"/>
  <c r="F170" i="17"/>
  <c r="F171" i="17"/>
  <c r="F172" i="17"/>
  <c r="F173" i="17"/>
  <c r="F174" i="17"/>
  <c r="F175" i="17"/>
  <c r="F176" i="17"/>
  <c r="F177" i="17"/>
  <c r="F178" i="17"/>
  <c r="C4" i="17"/>
  <c r="C5" i="17"/>
  <c r="C6" i="17"/>
  <c r="C7" i="17"/>
  <c r="C8" i="17"/>
  <c r="C9" i="17"/>
  <c r="C10" i="17"/>
  <c r="C11"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5" i="17"/>
  <c r="C126" i="17"/>
  <c r="C127" i="17"/>
  <c r="C128" i="17"/>
  <c r="C129" i="17"/>
  <c r="C130" i="17"/>
  <c r="C131" i="17"/>
  <c r="C132" i="17"/>
  <c r="C133" i="17"/>
  <c r="C134" i="17"/>
  <c r="C135" i="17"/>
  <c r="C136" i="17"/>
  <c r="C137" i="17"/>
  <c r="C138" i="17"/>
  <c r="C139" i="17"/>
  <c r="C140" i="17"/>
  <c r="C141" i="17"/>
  <c r="C142" i="17"/>
  <c r="C143" i="17"/>
  <c r="C144" i="17"/>
  <c r="C145" i="17"/>
  <c r="C146" i="17"/>
  <c r="C147" i="17"/>
  <c r="C148" i="17"/>
  <c r="C149" i="17"/>
  <c r="C150" i="17"/>
  <c r="C151" i="17"/>
  <c r="C152" i="17"/>
  <c r="C153" i="17"/>
  <c r="C154" i="17"/>
  <c r="C155" i="17"/>
  <c r="C156" i="17"/>
  <c r="C157" i="17"/>
  <c r="C158" i="17"/>
  <c r="C159" i="17"/>
  <c r="C160" i="17"/>
  <c r="C161" i="17"/>
  <c r="C162" i="17"/>
  <c r="C163" i="17"/>
  <c r="C164" i="17"/>
  <c r="C165" i="17"/>
  <c r="C166" i="17"/>
  <c r="C167" i="17"/>
  <c r="C168" i="17"/>
  <c r="C169" i="17"/>
  <c r="C170" i="17"/>
  <c r="C171" i="17"/>
  <c r="C172" i="17"/>
  <c r="C173" i="17"/>
  <c r="C174" i="17"/>
  <c r="C175" i="17"/>
  <c r="C176" i="17"/>
  <c r="C177" i="17"/>
  <c r="C178" i="17"/>
  <c r="B4" i="17"/>
  <c r="B5" i="17"/>
  <c r="B6" i="17"/>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103" i="17"/>
  <c r="B104" i="17"/>
  <c r="B105" i="17"/>
  <c r="B106" i="17"/>
  <c r="B107" i="17"/>
  <c r="B108" i="17"/>
  <c r="B109" i="17"/>
  <c r="B110" i="17"/>
  <c r="B111" i="17"/>
  <c r="B112" i="17"/>
  <c r="B113" i="17"/>
  <c r="B114" i="17"/>
  <c r="B115" i="17"/>
  <c r="B116" i="17"/>
  <c r="B117" i="17"/>
  <c r="B118" i="17"/>
  <c r="B119" i="17"/>
  <c r="B120" i="17"/>
  <c r="B121" i="17"/>
  <c r="B122" i="17"/>
  <c r="B123" i="17"/>
  <c r="B124" i="17"/>
  <c r="B125" i="17"/>
  <c r="B126" i="17"/>
  <c r="B127" i="17"/>
  <c r="B128" i="17"/>
  <c r="B129" i="17"/>
  <c r="B130" i="17"/>
  <c r="B131" i="17"/>
  <c r="B132" i="17"/>
  <c r="B133" i="17"/>
  <c r="B134" i="17"/>
  <c r="B135" i="17"/>
  <c r="B136" i="17"/>
  <c r="B137" i="17"/>
  <c r="B138" i="17"/>
  <c r="B139" i="17"/>
  <c r="B140" i="17"/>
  <c r="B141" i="17"/>
  <c r="B142" i="17"/>
  <c r="B143" i="17"/>
  <c r="B144" i="17"/>
  <c r="B145" i="17"/>
  <c r="B146" i="17"/>
  <c r="B147" i="17"/>
  <c r="B148" i="17"/>
  <c r="B149" i="17"/>
  <c r="B150" i="17"/>
  <c r="B151" i="17"/>
  <c r="B152" i="17"/>
  <c r="B153" i="17"/>
  <c r="B154" i="17"/>
  <c r="B155" i="17"/>
  <c r="B156" i="17"/>
  <c r="B157" i="17"/>
  <c r="B158" i="17"/>
  <c r="B159" i="17"/>
  <c r="B160" i="17"/>
  <c r="B161" i="17"/>
  <c r="B162" i="17"/>
  <c r="B163" i="17"/>
  <c r="B164" i="17"/>
  <c r="B165" i="17"/>
  <c r="B166" i="17"/>
  <c r="B167" i="17"/>
  <c r="B168" i="17"/>
  <c r="B169" i="17"/>
  <c r="B170" i="17"/>
  <c r="B171" i="17"/>
  <c r="B172" i="17"/>
  <c r="B173" i="17"/>
  <c r="B174" i="17"/>
  <c r="B175" i="17"/>
  <c r="B176" i="17"/>
  <c r="B177" i="17"/>
  <c r="B178" i="17"/>
  <c r="B3" i="17"/>
  <c r="C3" i="17"/>
  <c r="F3" i="17"/>
  <c r="H3" i="17"/>
  <c r="A177" i="17"/>
  <c r="A178" i="17"/>
  <c r="A4" i="17"/>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U47" i="1" l="1"/>
  <c r="Q47" i="1"/>
  <c r="N47" i="1"/>
  <c r="L47" i="1"/>
  <c r="M47" i="1" s="1"/>
  <c r="Z47" i="1" s="1"/>
  <c r="J47" i="1"/>
  <c r="G47" i="1"/>
  <c r="U22" i="1"/>
  <c r="Q22" i="1"/>
  <c r="N22" i="1"/>
  <c r="M22" i="1"/>
  <c r="Z22" i="1" s="1"/>
  <c r="J22" i="1"/>
  <c r="G22" i="1"/>
  <c r="L52" i="1"/>
  <c r="AB47" i="1" l="1"/>
  <c r="AD47" i="1"/>
  <c r="AD22" i="1"/>
  <c r="AB22" i="1"/>
  <c r="R47" i="1"/>
  <c r="V47" i="1"/>
  <c r="R22" i="1"/>
  <c r="V22" i="1"/>
  <c r="AF47" i="1" l="1"/>
  <c r="AF22" i="1"/>
  <c r="S75" i="1"/>
  <c r="S3" i="1"/>
  <c r="S166" i="1"/>
  <c r="S154" i="1"/>
  <c r="S153" i="1"/>
  <c r="S152" i="1"/>
  <c r="S146" i="1"/>
  <c r="S151" i="1"/>
  <c r="S150" i="1"/>
  <c r="S106" i="1"/>
  <c r="S149" i="1"/>
  <c r="S148" i="1"/>
  <c r="U148" i="1" s="1"/>
  <c r="S91" i="1"/>
  <c r="S103" i="1"/>
  <c r="S102" i="1"/>
  <c r="S101" i="1"/>
  <c r="S110" i="1"/>
  <c r="S109" i="1"/>
  <c r="S108" i="1"/>
  <c r="S107" i="1"/>
  <c r="S117" i="1"/>
  <c r="S118" i="1"/>
  <c r="S116" i="1"/>
  <c r="S104" i="1"/>
  <c r="S92" i="1"/>
  <c r="S71" i="1"/>
  <c r="S93" i="1"/>
  <c r="S89" i="1"/>
  <c r="S115" i="1"/>
  <c r="S95" i="1"/>
  <c r="S113" i="1"/>
  <c r="S105" i="1"/>
  <c r="S78" i="1"/>
  <c r="S77" i="1"/>
  <c r="S51" i="1"/>
  <c r="S63" i="1"/>
  <c r="S62" i="1"/>
  <c r="S61" i="1"/>
  <c r="S60" i="1"/>
  <c r="S59" i="1"/>
  <c r="S8" i="1"/>
  <c r="S53" i="1"/>
  <c r="S50" i="1"/>
  <c r="S49" i="1"/>
  <c r="S48" i="1"/>
  <c r="S4" i="1"/>
  <c r="S5" i="1"/>
  <c r="S7" i="1"/>
  <c r="S16" i="1"/>
  <c r="S13" i="1"/>
  <c r="S15" i="1"/>
  <c r="S17" i="1"/>
  <c r="S18" i="1"/>
  <c r="U28" i="1"/>
  <c r="S73" i="1"/>
  <c r="S81" i="1"/>
  <c r="S82" i="1"/>
  <c r="S83" i="1"/>
  <c r="S72" i="1"/>
  <c r="S133" i="1"/>
  <c r="S29" i="1"/>
  <c r="S26" i="1"/>
  <c r="S178" i="1"/>
  <c r="S25" i="1"/>
  <c r="S10" i="1"/>
  <c r="S11" i="1"/>
  <c r="S80" i="1"/>
  <c r="S131" i="1"/>
  <c r="S132" i="1"/>
  <c r="S158" i="1"/>
  <c r="S130" i="1"/>
  <c r="S31" i="1"/>
  <c r="S32" i="1"/>
  <c r="S30" i="1"/>
  <c r="S54" i="1"/>
  <c r="S58" i="1"/>
  <c r="S68" i="1"/>
  <c r="S69" i="1"/>
  <c r="S87" i="1"/>
  <c r="S24" i="1"/>
  <c r="S12" i="1"/>
  <c r="S94" i="1" s="1"/>
  <c r="S114" i="1"/>
  <c r="S111" i="1"/>
  <c r="S112" i="1"/>
  <c r="S9" i="1"/>
  <c r="S44" i="1"/>
  <c r="S164" i="1"/>
  <c r="S163" i="1"/>
  <c r="S145" i="1"/>
  <c r="S19" i="1"/>
  <c r="S6" i="1"/>
  <c r="S76" i="1"/>
  <c r="S147" i="1"/>
  <c r="S177" i="1"/>
  <c r="S100" i="1"/>
  <c r="S160" i="1"/>
  <c r="S134" i="1"/>
  <c r="S159" i="1"/>
  <c r="S74" i="1"/>
  <c r="S34" i="1"/>
  <c r="S35" i="1"/>
  <c r="S136" i="1"/>
  <c r="S137" i="1"/>
  <c r="S41" i="1"/>
  <c r="S88" i="1"/>
  <c r="S33" i="1"/>
  <c r="U4" i="1" l="1"/>
  <c r="U5" i="1"/>
  <c r="U6" i="1"/>
  <c r="U7" i="1"/>
  <c r="U9" i="1"/>
  <c r="U10" i="1"/>
  <c r="U11" i="1"/>
  <c r="U12" i="1"/>
  <c r="U13" i="1"/>
  <c r="U14" i="1"/>
  <c r="U16" i="1"/>
  <c r="U17" i="1"/>
  <c r="U18" i="1"/>
  <c r="U19" i="1"/>
  <c r="U20" i="1"/>
  <c r="U21" i="1"/>
  <c r="U52" i="1"/>
  <c r="U23" i="1"/>
  <c r="U24" i="1"/>
  <c r="U25" i="1"/>
  <c r="U26" i="1"/>
  <c r="U27" i="1"/>
  <c r="U15" i="1"/>
  <c r="U29" i="1"/>
  <c r="U30" i="1"/>
  <c r="U31" i="1"/>
  <c r="U32" i="1"/>
  <c r="U33" i="1"/>
  <c r="U34" i="1"/>
  <c r="U35" i="1"/>
  <c r="U36" i="1"/>
  <c r="U37" i="1"/>
  <c r="U39" i="1"/>
  <c r="U76" i="1"/>
  <c r="U44" i="1"/>
  <c r="U41" i="1"/>
  <c r="U46" i="1"/>
  <c r="U48" i="1"/>
  <c r="U49" i="1"/>
  <c r="U50" i="1"/>
  <c r="U45" i="1"/>
  <c r="U53" i="1"/>
  <c r="U54" i="1"/>
  <c r="U8" i="1"/>
  <c r="U70" i="1"/>
  <c r="U56" i="1"/>
  <c r="U40" i="1"/>
  <c r="U64" i="1"/>
  <c r="U65" i="1"/>
  <c r="U66" i="1"/>
  <c r="U99" i="1"/>
  <c r="U58" i="1"/>
  <c r="U59" i="1"/>
  <c r="U60" i="1"/>
  <c r="U61" i="1"/>
  <c r="U62" i="1"/>
  <c r="U63" i="1"/>
  <c r="U57" i="1"/>
  <c r="U67" i="1"/>
  <c r="U68" i="1"/>
  <c r="U69" i="1"/>
  <c r="U51" i="1"/>
  <c r="U71" i="1"/>
  <c r="U73" i="1"/>
  <c r="U75" i="1"/>
  <c r="U77" i="1"/>
  <c r="U78" i="1"/>
  <c r="U79" i="1"/>
  <c r="U87" i="1"/>
  <c r="U80" i="1"/>
  <c r="U81" i="1"/>
  <c r="U82" i="1"/>
  <c r="U83" i="1"/>
  <c r="U84" i="1"/>
  <c r="U86" i="1"/>
  <c r="U100" i="1"/>
  <c r="U91" i="1"/>
  <c r="U92" i="1"/>
  <c r="U114" i="1"/>
  <c r="U93" i="1"/>
  <c r="U94" i="1"/>
  <c r="U72" i="1"/>
  <c r="U74" i="1"/>
  <c r="U160" i="1"/>
  <c r="U96" i="1"/>
  <c r="U161" i="1"/>
  <c r="U162" i="1"/>
  <c r="U97" i="1"/>
  <c r="U98" i="1"/>
  <c r="U143" i="1"/>
  <c r="U144" i="1"/>
  <c r="U88" i="1"/>
  <c r="U89" i="1"/>
  <c r="U104" i="1"/>
  <c r="U105" i="1"/>
  <c r="U107" i="1"/>
  <c r="U108" i="1"/>
  <c r="U109" i="1"/>
  <c r="U110" i="1"/>
  <c r="U111" i="1"/>
  <c r="U112" i="1"/>
  <c r="U113" i="1"/>
  <c r="U95" i="1"/>
  <c r="U115" i="1"/>
  <c r="U116" i="1"/>
  <c r="U117" i="1"/>
  <c r="U118" i="1"/>
  <c r="U130" i="1"/>
  <c r="U131" i="1"/>
  <c r="U132" i="1"/>
  <c r="U133" i="1"/>
  <c r="U134" i="1"/>
  <c r="U136" i="1"/>
  <c r="U137" i="1"/>
  <c r="U138" i="1"/>
  <c r="U139" i="1"/>
  <c r="U142" i="1"/>
  <c r="U145" i="1"/>
  <c r="U146" i="1"/>
  <c r="U147" i="1"/>
  <c r="U101" i="1"/>
  <c r="U102" i="1"/>
  <c r="U103" i="1"/>
  <c r="U149" i="1"/>
  <c r="U106" i="1"/>
  <c r="U150" i="1"/>
  <c r="U151" i="1"/>
  <c r="U152" i="1"/>
  <c r="U153" i="1"/>
  <c r="U154" i="1"/>
  <c r="U155" i="1"/>
  <c r="U156" i="1"/>
  <c r="U158" i="1"/>
  <c r="U166" i="1"/>
  <c r="U159" i="1"/>
  <c r="U42" i="1"/>
  <c r="U43" i="1"/>
  <c r="U167" i="1"/>
  <c r="U168" i="1"/>
  <c r="U169" i="1"/>
  <c r="U170" i="1"/>
  <c r="U171" i="1"/>
  <c r="U172" i="1"/>
  <c r="U173" i="1"/>
  <c r="U175" i="1"/>
  <c r="U176" i="1"/>
  <c r="U177" i="1"/>
  <c r="U178" i="1"/>
  <c r="U90" i="1"/>
  <c r="U163" i="1"/>
  <c r="U164" i="1"/>
  <c r="U165" i="1"/>
  <c r="U55" i="1"/>
  <c r="U174" i="1"/>
  <c r="T3" i="1"/>
  <c r="U3" i="1" s="1"/>
  <c r="A3" i="17" l="1"/>
  <c r="Q38" i="1" l="1"/>
  <c r="N38" i="1"/>
  <c r="M38" i="1"/>
  <c r="V38" i="1" s="1"/>
  <c r="J38" i="1"/>
  <c r="G38" i="1"/>
  <c r="R38" i="1" l="1"/>
  <c r="AD38" i="1" l="1"/>
  <c r="AB38" i="1"/>
  <c r="Q113" i="1"/>
  <c r="L113" i="1"/>
  <c r="M113" i="1" s="1"/>
  <c r="N113" i="1"/>
  <c r="J113" i="1"/>
  <c r="G113" i="1"/>
  <c r="Q49" i="1"/>
  <c r="L49" i="1"/>
  <c r="M49" i="1" s="1"/>
  <c r="N49" i="1"/>
  <c r="L50" i="1"/>
  <c r="M50" i="1" s="1"/>
  <c r="N50" i="1"/>
  <c r="L51" i="1"/>
  <c r="M51" i="1" s="1"/>
  <c r="N51" i="1"/>
  <c r="L104" i="1"/>
  <c r="M104" i="1" s="1"/>
  <c r="V104" i="1" s="1"/>
  <c r="N104" i="1"/>
  <c r="J48" i="1"/>
  <c r="J49" i="1"/>
  <c r="J50" i="1"/>
  <c r="J51" i="1"/>
  <c r="J104" i="1"/>
  <c r="G49" i="1"/>
  <c r="Q10" i="1"/>
  <c r="Q11" i="1"/>
  <c r="Q101" i="1"/>
  <c r="Q102" i="1"/>
  <c r="Q88" i="1"/>
  <c r="Q89" i="1"/>
  <c r="Q103" i="1"/>
  <c r="Q90" i="1"/>
  <c r="Q27" i="1"/>
  <c r="Q28" i="1"/>
  <c r="Q70" i="1"/>
  <c r="Q48" i="1"/>
  <c r="Q50" i="1"/>
  <c r="Q51" i="1"/>
  <c r="Q104" i="1"/>
  <c r="Q148" i="1"/>
  <c r="Q149" i="1"/>
  <c r="Q53" i="1"/>
  <c r="Q6" i="1"/>
  <c r="Q105" i="1"/>
  <c r="Q7" i="1"/>
  <c r="Q106" i="1"/>
  <c r="Q150" i="1"/>
  <c r="Q91" i="1"/>
  <c r="Q107" i="1"/>
  <c r="Q108" i="1"/>
  <c r="Q109" i="1"/>
  <c r="Q54" i="1"/>
  <c r="Q92" i="1"/>
  <c r="Q110" i="1"/>
  <c r="Q71" i="1"/>
  <c r="Q8" i="1"/>
  <c r="Q111" i="1"/>
  <c r="Q112" i="1"/>
  <c r="Q114" i="1"/>
  <c r="Q12" i="1"/>
  <c r="Q9" i="1"/>
  <c r="Q93" i="1"/>
  <c r="Q94" i="1"/>
  <c r="Q95" i="1"/>
  <c r="Q13" i="1"/>
  <c r="Q151" i="1"/>
  <c r="Q115" i="1"/>
  <c r="Q58" i="1"/>
  <c r="Q59" i="1"/>
  <c r="Q60" i="1"/>
  <c r="Q62" i="1"/>
  <c r="Q152" i="1"/>
  <c r="Q61" i="1"/>
  <c r="Q153" i="1"/>
  <c r="Q154" i="1"/>
  <c r="Q116" i="1"/>
  <c r="Q117" i="1"/>
  <c r="Q118" i="1"/>
  <c r="Q63" i="1"/>
  <c r="Q155" i="1"/>
  <c r="Q156" i="1"/>
  <c r="Q157" i="1"/>
  <c r="L10" i="1"/>
  <c r="M10" i="1" s="1"/>
  <c r="V10" i="1" s="1"/>
  <c r="N10" i="1"/>
  <c r="M11" i="1"/>
  <c r="N11" i="1"/>
  <c r="L101" i="1"/>
  <c r="M101" i="1" s="1"/>
  <c r="N101" i="1"/>
  <c r="L102" i="1"/>
  <c r="M102" i="1" s="1"/>
  <c r="N102" i="1"/>
  <c r="L88" i="1"/>
  <c r="M88" i="1" s="1"/>
  <c r="N88" i="1"/>
  <c r="L89" i="1"/>
  <c r="M89" i="1" s="1"/>
  <c r="N89" i="1"/>
  <c r="L103" i="1"/>
  <c r="M103" i="1" s="1"/>
  <c r="N103" i="1"/>
  <c r="L90" i="1"/>
  <c r="M90" i="1" s="1"/>
  <c r="N90" i="1"/>
  <c r="M27" i="1"/>
  <c r="N27" i="1"/>
  <c r="M28" i="1"/>
  <c r="N28" i="1"/>
  <c r="L70" i="1"/>
  <c r="M70" i="1" s="1"/>
  <c r="N70" i="1"/>
  <c r="L48" i="1"/>
  <c r="M48" i="1" s="1"/>
  <c r="N48" i="1"/>
  <c r="L148" i="1"/>
  <c r="M148" i="1" s="1"/>
  <c r="V148" i="1" s="1"/>
  <c r="N148" i="1"/>
  <c r="L149" i="1"/>
  <c r="M149" i="1" s="1"/>
  <c r="N149" i="1"/>
  <c r="L53" i="1"/>
  <c r="M53" i="1" s="1"/>
  <c r="N53" i="1"/>
  <c r="M6" i="1"/>
  <c r="N6" i="1"/>
  <c r="L105" i="1"/>
  <c r="M105" i="1" s="1"/>
  <c r="N105" i="1"/>
  <c r="M7" i="1"/>
  <c r="N7" i="1"/>
  <c r="L106" i="1"/>
  <c r="M106" i="1" s="1"/>
  <c r="N106" i="1"/>
  <c r="L150" i="1"/>
  <c r="M150" i="1" s="1"/>
  <c r="N150" i="1"/>
  <c r="L91" i="1"/>
  <c r="M91" i="1" s="1"/>
  <c r="N91" i="1"/>
  <c r="L107" i="1"/>
  <c r="M107" i="1" s="1"/>
  <c r="N107" i="1"/>
  <c r="L108" i="1"/>
  <c r="M108" i="1" s="1"/>
  <c r="N108" i="1"/>
  <c r="L109" i="1"/>
  <c r="M109" i="1" s="1"/>
  <c r="N109" i="1"/>
  <c r="L54" i="1"/>
  <c r="M54" i="1" s="1"/>
  <c r="N54" i="1"/>
  <c r="L92" i="1"/>
  <c r="M92" i="1" s="1"/>
  <c r="N92" i="1"/>
  <c r="L110" i="1"/>
  <c r="M110" i="1" s="1"/>
  <c r="N110" i="1"/>
  <c r="L71" i="1"/>
  <c r="M71" i="1" s="1"/>
  <c r="N71" i="1"/>
  <c r="M8" i="1"/>
  <c r="N8" i="1"/>
  <c r="L111" i="1"/>
  <c r="M111" i="1" s="1"/>
  <c r="N111" i="1"/>
  <c r="L112" i="1"/>
  <c r="M112" i="1" s="1"/>
  <c r="N112" i="1"/>
  <c r="L114" i="1"/>
  <c r="M114" i="1" s="1"/>
  <c r="N114" i="1"/>
  <c r="M12" i="1"/>
  <c r="N12" i="1"/>
  <c r="L9" i="1"/>
  <c r="M9" i="1" s="1"/>
  <c r="N9" i="1"/>
  <c r="L93" i="1"/>
  <c r="M93" i="1" s="1"/>
  <c r="N93" i="1"/>
  <c r="L94" i="1"/>
  <c r="M94" i="1" s="1"/>
  <c r="N94" i="1"/>
  <c r="L95" i="1"/>
  <c r="M95" i="1" s="1"/>
  <c r="N95" i="1"/>
  <c r="M13" i="1"/>
  <c r="N13" i="1"/>
  <c r="L151" i="1"/>
  <c r="M151" i="1" s="1"/>
  <c r="N151" i="1"/>
  <c r="L115" i="1"/>
  <c r="M115" i="1" s="1"/>
  <c r="N115" i="1"/>
  <c r="L58" i="1"/>
  <c r="M58" i="1" s="1"/>
  <c r="N58" i="1"/>
  <c r="L59" i="1"/>
  <c r="M59" i="1" s="1"/>
  <c r="N59" i="1"/>
  <c r="L60" i="1"/>
  <c r="M60" i="1" s="1"/>
  <c r="N60" i="1"/>
  <c r="L62" i="1"/>
  <c r="M62" i="1" s="1"/>
  <c r="N62" i="1"/>
  <c r="L152" i="1"/>
  <c r="M152" i="1" s="1"/>
  <c r="N152" i="1"/>
  <c r="L61" i="1"/>
  <c r="M61" i="1" s="1"/>
  <c r="N61" i="1"/>
  <c r="L153" i="1"/>
  <c r="M153" i="1" s="1"/>
  <c r="N153" i="1"/>
  <c r="L154" i="1"/>
  <c r="M154" i="1" s="1"/>
  <c r="N154" i="1"/>
  <c r="L116" i="1"/>
  <c r="M116" i="1" s="1"/>
  <c r="N116" i="1"/>
  <c r="L117" i="1"/>
  <c r="M117" i="1" s="1"/>
  <c r="N117" i="1"/>
  <c r="L118" i="1"/>
  <c r="M118" i="1" s="1"/>
  <c r="N118" i="1"/>
  <c r="L63" i="1"/>
  <c r="M63" i="1" s="1"/>
  <c r="N63" i="1"/>
  <c r="L155" i="1"/>
  <c r="M155" i="1" s="1"/>
  <c r="N155" i="1"/>
  <c r="L156" i="1"/>
  <c r="M156" i="1" s="1"/>
  <c r="N156" i="1"/>
  <c r="L157" i="1"/>
  <c r="M157" i="1" s="1"/>
  <c r="N157" i="1"/>
  <c r="J10" i="1"/>
  <c r="J11" i="1"/>
  <c r="J101" i="1"/>
  <c r="J102" i="1"/>
  <c r="J88" i="1"/>
  <c r="J89" i="1"/>
  <c r="J103" i="1"/>
  <c r="J90" i="1"/>
  <c r="J27" i="1"/>
  <c r="J28" i="1"/>
  <c r="J70" i="1"/>
  <c r="J148" i="1"/>
  <c r="J149" i="1"/>
  <c r="J53" i="1"/>
  <c r="J6" i="1"/>
  <c r="J105" i="1"/>
  <c r="J7" i="1"/>
  <c r="J106" i="1"/>
  <c r="J150" i="1"/>
  <c r="J91" i="1"/>
  <c r="J107" i="1"/>
  <c r="J108" i="1"/>
  <c r="J109" i="1"/>
  <c r="J54" i="1"/>
  <c r="J92" i="1"/>
  <c r="J110" i="1"/>
  <c r="J71" i="1"/>
  <c r="J8" i="1"/>
  <c r="J111" i="1"/>
  <c r="J112" i="1"/>
  <c r="J114" i="1"/>
  <c r="J12" i="1"/>
  <c r="J9" i="1"/>
  <c r="J93" i="1"/>
  <c r="J94" i="1"/>
  <c r="J95" i="1"/>
  <c r="J13" i="1"/>
  <c r="J151" i="1"/>
  <c r="J115" i="1"/>
  <c r="J58" i="1"/>
  <c r="J59" i="1"/>
  <c r="J60" i="1"/>
  <c r="J62" i="1"/>
  <c r="J152" i="1"/>
  <c r="J61" i="1"/>
  <c r="J153" i="1"/>
  <c r="J154" i="1"/>
  <c r="J116" i="1"/>
  <c r="J117" i="1"/>
  <c r="J118" i="1"/>
  <c r="J63" i="1"/>
  <c r="J155" i="1"/>
  <c r="J156" i="1"/>
  <c r="J157" i="1"/>
  <c r="G10" i="1"/>
  <c r="G11" i="1"/>
  <c r="G101" i="1"/>
  <c r="G102" i="1"/>
  <c r="G88" i="1"/>
  <c r="G89" i="1"/>
  <c r="G103" i="1"/>
  <c r="G90" i="1"/>
  <c r="G27" i="1"/>
  <c r="G28" i="1"/>
  <c r="G70" i="1"/>
  <c r="G48" i="1"/>
  <c r="G50" i="1"/>
  <c r="G51" i="1"/>
  <c r="G104" i="1"/>
  <c r="G148" i="1"/>
  <c r="G149" i="1"/>
  <c r="G53" i="1"/>
  <c r="G6" i="1"/>
  <c r="G105" i="1"/>
  <c r="G7" i="1"/>
  <c r="G106" i="1"/>
  <c r="G150" i="1"/>
  <c r="G91" i="1"/>
  <c r="G107" i="1"/>
  <c r="G108" i="1"/>
  <c r="G109" i="1"/>
  <c r="G54" i="1"/>
  <c r="G92" i="1"/>
  <c r="G110" i="1"/>
  <c r="G71" i="1"/>
  <c r="G8" i="1"/>
  <c r="G111" i="1"/>
  <c r="G112" i="1"/>
  <c r="G114" i="1"/>
  <c r="G12" i="1"/>
  <c r="G9" i="1"/>
  <c r="G93" i="1"/>
  <c r="G94" i="1"/>
  <c r="G95" i="1"/>
  <c r="G13" i="1"/>
  <c r="G151" i="1"/>
  <c r="G115" i="1"/>
  <c r="G58" i="1"/>
  <c r="G59" i="1"/>
  <c r="G60" i="1"/>
  <c r="G62" i="1"/>
  <c r="G152" i="1"/>
  <c r="G61" i="1"/>
  <c r="G153" i="1"/>
  <c r="G154" i="1"/>
  <c r="G116" i="1"/>
  <c r="G117" i="1"/>
  <c r="G118" i="1"/>
  <c r="G63" i="1"/>
  <c r="G155" i="1"/>
  <c r="G156" i="1"/>
  <c r="G157" i="1"/>
  <c r="Q25" i="1"/>
  <c r="Q178" i="1"/>
  <c r="Q26" i="1"/>
  <c r="Q80" i="1"/>
  <c r="L80" i="1"/>
  <c r="M80" i="1" s="1"/>
  <c r="N80" i="1"/>
  <c r="J80" i="1"/>
  <c r="AF38" i="1" l="1"/>
  <c r="V157" i="1"/>
  <c r="Z157" i="1"/>
  <c r="V155" i="1"/>
  <c r="Z155" i="1"/>
  <c r="V118" i="1"/>
  <c r="Z118" i="1"/>
  <c r="V116" i="1"/>
  <c r="Z116" i="1"/>
  <c r="V153" i="1"/>
  <c r="Z153" i="1"/>
  <c r="V152" i="1"/>
  <c r="Z152" i="1"/>
  <c r="V60" i="1"/>
  <c r="Z60" i="1"/>
  <c r="V58" i="1"/>
  <c r="Z58" i="1"/>
  <c r="V151" i="1"/>
  <c r="Z151" i="1"/>
  <c r="V95" i="1"/>
  <c r="Z95" i="1"/>
  <c r="V93" i="1"/>
  <c r="Z93" i="1"/>
  <c r="V12" i="1"/>
  <c r="Z12" i="1"/>
  <c r="V112" i="1"/>
  <c r="Z112" i="1"/>
  <c r="V8" i="1"/>
  <c r="Z8" i="1"/>
  <c r="V110" i="1"/>
  <c r="Z110" i="1"/>
  <c r="V54" i="1"/>
  <c r="Z54" i="1"/>
  <c r="V108" i="1"/>
  <c r="Z108" i="1"/>
  <c r="V91" i="1"/>
  <c r="Z91" i="1"/>
  <c r="V106" i="1"/>
  <c r="Z106" i="1"/>
  <c r="V105" i="1"/>
  <c r="Z105" i="1"/>
  <c r="V53" i="1"/>
  <c r="Z53" i="1"/>
  <c r="Z148" i="1"/>
  <c r="V70" i="1"/>
  <c r="V27" i="1"/>
  <c r="Z27" i="1"/>
  <c r="V103" i="1"/>
  <c r="Z103" i="1"/>
  <c r="V88" i="1"/>
  <c r="Z88" i="1"/>
  <c r="V101" i="1"/>
  <c r="Z101" i="1"/>
  <c r="Z10" i="1"/>
  <c r="V51" i="1"/>
  <c r="Z51" i="1"/>
  <c r="V49" i="1"/>
  <c r="Z49" i="1"/>
  <c r="V113" i="1"/>
  <c r="Z113" i="1"/>
  <c r="V80" i="1"/>
  <c r="V156" i="1"/>
  <c r="Z156" i="1"/>
  <c r="V63" i="1"/>
  <c r="Z63" i="1"/>
  <c r="V117" i="1"/>
  <c r="Z117" i="1"/>
  <c r="V154" i="1"/>
  <c r="Z154" i="1"/>
  <c r="V61" i="1"/>
  <c r="Z61" i="1"/>
  <c r="V62" i="1"/>
  <c r="Z62" i="1"/>
  <c r="V59" i="1"/>
  <c r="Z59" i="1"/>
  <c r="V115" i="1"/>
  <c r="Z115" i="1"/>
  <c r="V13" i="1"/>
  <c r="Z13" i="1"/>
  <c r="V94" i="1"/>
  <c r="Z94" i="1"/>
  <c r="V9" i="1"/>
  <c r="Z9" i="1"/>
  <c r="V114" i="1"/>
  <c r="Z114" i="1"/>
  <c r="V111" i="1"/>
  <c r="Z111" i="1"/>
  <c r="V71" i="1"/>
  <c r="Z71" i="1"/>
  <c r="V92" i="1"/>
  <c r="Z92" i="1"/>
  <c r="V109" i="1"/>
  <c r="Z109" i="1"/>
  <c r="V107" i="1"/>
  <c r="Z107" i="1"/>
  <c r="V150" i="1"/>
  <c r="Z150" i="1"/>
  <c r="V7" i="1"/>
  <c r="Z7" i="1"/>
  <c r="V6" i="1"/>
  <c r="Z6" i="1"/>
  <c r="V149" i="1"/>
  <c r="Z149" i="1"/>
  <c r="V48" i="1"/>
  <c r="Z48" i="1"/>
  <c r="V28" i="1"/>
  <c r="Z28" i="1"/>
  <c r="V90" i="1"/>
  <c r="Z90" i="1"/>
  <c r="V89" i="1"/>
  <c r="Z89" i="1"/>
  <c r="V102" i="1"/>
  <c r="Z102" i="1"/>
  <c r="V11" i="1"/>
  <c r="Z11" i="1"/>
  <c r="Z104" i="1"/>
  <c r="V50" i="1"/>
  <c r="R113" i="1"/>
  <c r="R116" i="1"/>
  <c r="R155" i="1"/>
  <c r="R152" i="1"/>
  <c r="R13" i="1"/>
  <c r="R114" i="1"/>
  <c r="R71" i="1"/>
  <c r="R106" i="1"/>
  <c r="R105" i="1"/>
  <c r="R53" i="1"/>
  <c r="R94" i="1"/>
  <c r="R58" i="1"/>
  <c r="R111" i="1"/>
  <c r="R7" i="1"/>
  <c r="R92" i="1"/>
  <c r="R157" i="1"/>
  <c r="R153" i="1"/>
  <c r="R115" i="1"/>
  <c r="R148" i="1"/>
  <c r="R118" i="1"/>
  <c r="R154" i="1"/>
  <c r="R49" i="1"/>
  <c r="R51" i="1"/>
  <c r="R48" i="1"/>
  <c r="R91" i="1"/>
  <c r="R8" i="1"/>
  <c r="R109" i="1"/>
  <c r="R104" i="1"/>
  <c r="R117" i="1"/>
  <c r="R60" i="1"/>
  <c r="R95" i="1"/>
  <c r="R9" i="1"/>
  <c r="R112" i="1"/>
  <c r="R54" i="1"/>
  <c r="R108" i="1"/>
  <c r="R149" i="1"/>
  <c r="R156" i="1"/>
  <c r="R61" i="1"/>
  <c r="R110" i="1"/>
  <c r="R93" i="1"/>
  <c r="R150" i="1"/>
  <c r="R63" i="1"/>
  <c r="R62" i="1"/>
  <c r="R59" i="1"/>
  <c r="R151" i="1"/>
  <c r="R12" i="1"/>
  <c r="R107" i="1"/>
  <c r="R6" i="1"/>
  <c r="R50" i="1"/>
  <c r="R70" i="1"/>
  <c r="R90" i="1"/>
  <c r="R28" i="1"/>
  <c r="R27" i="1"/>
  <c r="R89" i="1"/>
  <c r="R102" i="1"/>
  <c r="R103" i="1"/>
  <c r="R88" i="1"/>
  <c r="R101" i="1"/>
  <c r="R11" i="1"/>
  <c r="R10" i="1"/>
  <c r="J100" i="1"/>
  <c r="J147" i="1"/>
  <c r="J177" i="1"/>
  <c r="J68" i="1"/>
  <c r="J69" i="1"/>
  <c r="J24" i="1"/>
  <c r="J87" i="1"/>
  <c r="J25" i="1"/>
  <c r="J178" i="1"/>
  <c r="J26" i="1"/>
  <c r="L85" i="1"/>
  <c r="M85" i="1" s="1"/>
  <c r="N85" i="1"/>
  <c r="M86" i="1"/>
  <c r="N86" i="1"/>
  <c r="L36" i="1"/>
  <c r="M36" i="1" s="1"/>
  <c r="N36" i="1"/>
  <c r="L37" i="1"/>
  <c r="M37" i="1" s="1"/>
  <c r="N37" i="1"/>
  <c r="L100" i="1"/>
  <c r="M100" i="1" s="1"/>
  <c r="N100" i="1"/>
  <c r="L147" i="1"/>
  <c r="M147" i="1" s="1"/>
  <c r="N147" i="1"/>
  <c r="L177" i="1"/>
  <c r="M177" i="1" s="1"/>
  <c r="N177" i="1"/>
  <c r="L68" i="1"/>
  <c r="M68" i="1" s="1"/>
  <c r="N68" i="1"/>
  <c r="L69" i="1"/>
  <c r="M69" i="1" s="1"/>
  <c r="N69" i="1"/>
  <c r="L24" i="1"/>
  <c r="M24" i="1" s="1"/>
  <c r="N24" i="1"/>
  <c r="L87" i="1"/>
  <c r="M87" i="1" s="1"/>
  <c r="N87" i="1"/>
  <c r="L25" i="1"/>
  <c r="M25" i="1" s="1"/>
  <c r="N25" i="1"/>
  <c r="L178" i="1"/>
  <c r="M178" i="1" s="1"/>
  <c r="N178" i="1"/>
  <c r="M26" i="1"/>
  <c r="N26" i="1"/>
  <c r="Q85" i="1"/>
  <c r="Q86" i="1"/>
  <c r="Q36" i="1"/>
  <c r="Q37" i="1"/>
  <c r="Q100" i="1"/>
  <c r="Q147" i="1"/>
  <c r="Q177" i="1"/>
  <c r="Q68" i="1"/>
  <c r="Q69" i="1"/>
  <c r="Q24" i="1"/>
  <c r="Q87" i="1"/>
  <c r="J85" i="1"/>
  <c r="J86" i="1"/>
  <c r="J36" i="1"/>
  <c r="J37" i="1"/>
  <c r="G85" i="1"/>
  <c r="G86" i="1"/>
  <c r="G36" i="1"/>
  <c r="G37" i="1"/>
  <c r="G100" i="1"/>
  <c r="G147" i="1"/>
  <c r="G177" i="1"/>
  <c r="G68" i="1"/>
  <c r="G69" i="1"/>
  <c r="G24" i="1"/>
  <c r="G87" i="1"/>
  <c r="G25" i="1"/>
  <c r="G178" i="1"/>
  <c r="G26" i="1"/>
  <c r="G80" i="1"/>
  <c r="R80" i="1" s="1"/>
  <c r="AD24" i="1" l="1"/>
  <c r="AB24" i="1"/>
  <c r="AB6" i="1"/>
  <c r="AD6" i="1"/>
  <c r="AB28" i="1"/>
  <c r="AD28" i="1"/>
  <c r="AB27" i="1"/>
  <c r="AD27" i="1"/>
  <c r="AD90" i="1"/>
  <c r="AB90" i="1"/>
  <c r="AD150" i="1"/>
  <c r="AB150" i="1"/>
  <c r="AD71" i="1"/>
  <c r="AB71" i="1"/>
  <c r="AD114" i="1"/>
  <c r="AB114" i="1"/>
  <c r="AD115" i="1"/>
  <c r="AB115" i="1"/>
  <c r="AD154" i="1"/>
  <c r="AB154" i="1"/>
  <c r="AD105" i="1"/>
  <c r="AB105" i="1"/>
  <c r="AD54" i="1"/>
  <c r="AB54" i="1"/>
  <c r="AD12" i="1"/>
  <c r="AB12" i="1"/>
  <c r="AD95" i="1"/>
  <c r="AB95" i="1"/>
  <c r="AD58" i="1"/>
  <c r="AB58" i="1"/>
  <c r="AD152" i="1"/>
  <c r="AB152" i="1"/>
  <c r="AD155" i="1"/>
  <c r="AB155" i="1"/>
  <c r="AD104" i="1"/>
  <c r="AB104" i="1"/>
  <c r="AD51" i="1"/>
  <c r="AB51" i="1"/>
  <c r="AB11" i="1"/>
  <c r="AD11" i="1"/>
  <c r="AD89" i="1"/>
  <c r="AB89" i="1"/>
  <c r="AD149" i="1"/>
  <c r="AB149" i="1"/>
  <c r="AD7" i="1"/>
  <c r="AB7" i="1"/>
  <c r="AD107" i="1"/>
  <c r="AB107" i="1"/>
  <c r="AD92" i="1"/>
  <c r="AB92" i="1"/>
  <c r="AD111" i="1"/>
  <c r="AB111" i="1"/>
  <c r="AD9" i="1"/>
  <c r="AB9" i="1"/>
  <c r="AB13" i="1"/>
  <c r="AD13" i="1"/>
  <c r="AD59" i="1"/>
  <c r="AB59" i="1"/>
  <c r="AD61" i="1"/>
  <c r="AB61" i="1"/>
  <c r="AD117" i="1"/>
  <c r="AB117" i="1"/>
  <c r="AD156" i="1"/>
  <c r="AB156" i="1"/>
  <c r="AD88" i="1"/>
  <c r="AB88" i="1"/>
  <c r="AB53" i="1"/>
  <c r="AD53" i="1"/>
  <c r="AD106" i="1"/>
  <c r="AB106" i="1"/>
  <c r="AD108" i="1"/>
  <c r="AB108" i="1"/>
  <c r="AD110" i="1"/>
  <c r="AB110" i="1"/>
  <c r="AD112" i="1"/>
  <c r="AB112" i="1"/>
  <c r="AD93" i="1"/>
  <c r="AB93" i="1"/>
  <c r="AD151" i="1"/>
  <c r="AB151" i="1"/>
  <c r="AD60" i="1"/>
  <c r="AB60" i="1"/>
  <c r="AD153" i="1"/>
  <c r="AB153" i="1"/>
  <c r="AD118" i="1"/>
  <c r="AB118" i="1"/>
  <c r="AD157" i="1"/>
  <c r="AB157" i="1"/>
  <c r="AD102" i="1"/>
  <c r="AB102" i="1"/>
  <c r="AD48" i="1"/>
  <c r="AB48" i="1"/>
  <c r="AD109" i="1"/>
  <c r="AB109" i="1"/>
  <c r="AD94" i="1"/>
  <c r="AB94" i="1"/>
  <c r="AD62" i="1"/>
  <c r="AB62" i="1"/>
  <c r="AD63" i="1"/>
  <c r="AB63" i="1"/>
  <c r="AD101" i="1"/>
  <c r="AB101" i="1"/>
  <c r="AD103" i="1"/>
  <c r="AB103" i="1"/>
  <c r="AD91" i="1"/>
  <c r="AB91" i="1"/>
  <c r="AD8" i="1"/>
  <c r="AB8" i="1"/>
  <c r="AD116" i="1"/>
  <c r="AB116" i="1"/>
  <c r="AD113" i="1"/>
  <c r="AB113" i="1"/>
  <c r="AD148" i="1"/>
  <c r="AB148" i="1"/>
  <c r="AB49" i="1"/>
  <c r="AD49" i="1"/>
  <c r="AD10" i="1"/>
  <c r="AB10" i="1"/>
  <c r="R24" i="1"/>
  <c r="V26" i="1"/>
  <c r="Z26" i="1"/>
  <c r="V25" i="1"/>
  <c r="V24" i="1"/>
  <c r="V68" i="1"/>
  <c r="Z68" i="1"/>
  <c r="V147" i="1"/>
  <c r="Z147" i="1"/>
  <c r="V37" i="1"/>
  <c r="Z37" i="1"/>
  <c r="V86" i="1"/>
  <c r="Z86" i="1"/>
  <c r="V178" i="1"/>
  <c r="Z178" i="1"/>
  <c r="V87" i="1"/>
  <c r="Z87" i="1"/>
  <c r="V69" i="1"/>
  <c r="Z69" i="1"/>
  <c r="V177" i="1"/>
  <c r="Z177" i="1"/>
  <c r="V100" i="1"/>
  <c r="Z100" i="1"/>
  <c r="V36" i="1"/>
  <c r="Z36" i="1"/>
  <c r="V85" i="1"/>
  <c r="Z85" i="1"/>
  <c r="R37" i="1"/>
  <c r="R178" i="1"/>
  <c r="R86" i="1"/>
  <c r="R26" i="1"/>
  <c r="R25" i="1"/>
  <c r="R147" i="1"/>
  <c r="R87" i="1"/>
  <c r="R69" i="1"/>
  <c r="R177" i="1"/>
  <c r="R36" i="1"/>
  <c r="R85" i="1"/>
  <c r="R68" i="1"/>
  <c r="R100" i="1"/>
  <c r="Q42" i="1"/>
  <c r="Q43" i="1"/>
  <c r="Q167" i="1"/>
  <c r="Q168" i="1"/>
  <c r="Q169" i="1"/>
  <c r="Q170" i="1"/>
  <c r="Q171" i="1"/>
  <c r="Q172" i="1"/>
  <c r="Q99" i="1"/>
  <c r="Q55" i="1"/>
  <c r="Q56" i="1"/>
  <c r="Q45" i="1"/>
  <c r="Q46" i="1"/>
  <c r="Q173" i="1"/>
  <c r="Q174" i="1"/>
  <c r="Q175" i="1"/>
  <c r="Q176" i="1"/>
  <c r="Q79" i="1"/>
  <c r="Q57" i="1"/>
  <c r="Q84" i="1"/>
  <c r="Q52" i="1"/>
  <c r="Q67" i="1"/>
  <c r="Q23" i="1"/>
  <c r="L42" i="1"/>
  <c r="M42" i="1" s="1"/>
  <c r="N42" i="1"/>
  <c r="L43" i="1"/>
  <c r="M43" i="1" s="1"/>
  <c r="N43" i="1"/>
  <c r="L167" i="1"/>
  <c r="M167" i="1" s="1"/>
  <c r="N167" i="1"/>
  <c r="L168" i="1"/>
  <c r="M168" i="1" s="1"/>
  <c r="N168" i="1"/>
  <c r="L169" i="1"/>
  <c r="M169" i="1" s="1"/>
  <c r="N169" i="1"/>
  <c r="L170" i="1"/>
  <c r="M170" i="1" s="1"/>
  <c r="N170" i="1"/>
  <c r="L171" i="1"/>
  <c r="M171" i="1" s="1"/>
  <c r="N171" i="1"/>
  <c r="L172" i="1"/>
  <c r="M172" i="1" s="1"/>
  <c r="N172" i="1"/>
  <c r="L99" i="1"/>
  <c r="M99" i="1" s="1"/>
  <c r="N99" i="1"/>
  <c r="L55" i="1"/>
  <c r="M55" i="1" s="1"/>
  <c r="N55" i="1"/>
  <c r="L56" i="1"/>
  <c r="M56" i="1" s="1"/>
  <c r="N56" i="1"/>
  <c r="L45" i="1"/>
  <c r="M45" i="1" s="1"/>
  <c r="N45" i="1"/>
  <c r="M46" i="1"/>
  <c r="N46" i="1"/>
  <c r="L173" i="1"/>
  <c r="M173" i="1" s="1"/>
  <c r="N173" i="1"/>
  <c r="L174" i="1"/>
  <c r="M174" i="1" s="1"/>
  <c r="N174" i="1"/>
  <c r="L175" i="1"/>
  <c r="M175" i="1" s="1"/>
  <c r="N175" i="1"/>
  <c r="L176" i="1"/>
  <c r="M176" i="1" s="1"/>
  <c r="N176" i="1"/>
  <c r="L79" i="1"/>
  <c r="M79" i="1" s="1"/>
  <c r="N79" i="1"/>
  <c r="L57" i="1"/>
  <c r="M57" i="1" s="1"/>
  <c r="N57" i="1"/>
  <c r="L84" i="1"/>
  <c r="M84" i="1" s="1"/>
  <c r="N84" i="1"/>
  <c r="M52" i="1"/>
  <c r="N52" i="1"/>
  <c r="L67" i="1"/>
  <c r="M67" i="1" s="1"/>
  <c r="N67" i="1"/>
  <c r="M23" i="1"/>
  <c r="N23" i="1"/>
  <c r="J42" i="1"/>
  <c r="J43" i="1"/>
  <c r="J167" i="1"/>
  <c r="J168" i="1"/>
  <c r="J169" i="1"/>
  <c r="J170" i="1"/>
  <c r="J171" i="1"/>
  <c r="J172" i="1"/>
  <c r="J99" i="1"/>
  <c r="J55" i="1"/>
  <c r="J56" i="1"/>
  <c r="J45" i="1"/>
  <c r="J46" i="1"/>
  <c r="J173" i="1"/>
  <c r="J174" i="1"/>
  <c r="J175" i="1"/>
  <c r="J176" i="1"/>
  <c r="J79" i="1"/>
  <c r="J57" i="1"/>
  <c r="J84" i="1"/>
  <c r="J52" i="1"/>
  <c r="J67" i="1"/>
  <c r="J23" i="1"/>
  <c r="G42" i="1"/>
  <c r="G43" i="1"/>
  <c r="G167" i="1"/>
  <c r="G168" i="1"/>
  <c r="G169" i="1"/>
  <c r="G170" i="1"/>
  <c r="G171" i="1"/>
  <c r="G172" i="1"/>
  <c r="G99" i="1"/>
  <c r="G55" i="1"/>
  <c r="G56" i="1"/>
  <c r="G45" i="1"/>
  <c r="G46" i="1"/>
  <c r="G173" i="1"/>
  <c r="G174" i="1"/>
  <c r="G175" i="1"/>
  <c r="G176" i="1"/>
  <c r="G79" i="1"/>
  <c r="G57" i="1"/>
  <c r="G84" i="1"/>
  <c r="G52" i="1"/>
  <c r="G67" i="1"/>
  <c r="G23" i="1"/>
  <c r="Q78" i="1"/>
  <c r="L78" i="1"/>
  <c r="M78" i="1" s="1"/>
  <c r="N78" i="1"/>
  <c r="J78" i="1"/>
  <c r="G78" i="1"/>
  <c r="Q166" i="1"/>
  <c r="Q41" i="1"/>
  <c r="L166" i="1"/>
  <c r="M166" i="1" s="1"/>
  <c r="N166" i="1"/>
  <c r="L41" i="1"/>
  <c r="M41" i="1" s="1"/>
  <c r="N41" i="1"/>
  <c r="J166" i="1"/>
  <c r="J41" i="1"/>
  <c r="G166" i="1"/>
  <c r="G41" i="1"/>
  <c r="Q146" i="1"/>
  <c r="L146" i="1"/>
  <c r="M146" i="1" s="1"/>
  <c r="N146" i="1"/>
  <c r="J146" i="1"/>
  <c r="G146" i="1"/>
  <c r="Q145" i="1"/>
  <c r="L145" i="1"/>
  <c r="M145" i="1" s="1"/>
  <c r="N145" i="1"/>
  <c r="J145" i="1"/>
  <c r="G145" i="1"/>
  <c r="Q5" i="1"/>
  <c r="Q75" i="1"/>
  <c r="Q143" i="1"/>
  <c r="Q76" i="1"/>
  <c r="Q44" i="1"/>
  <c r="Q66" i="1"/>
  <c r="Q163" i="1"/>
  <c r="Q164" i="1"/>
  <c r="Q15" i="1"/>
  <c r="Q165" i="1"/>
  <c r="Q144" i="1"/>
  <c r="Q16" i="1"/>
  <c r="Q17" i="1"/>
  <c r="Q18" i="1"/>
  <c r="Q19" i="1"/>
  <c r="J19" i="1"/>
  <c r="L5" i="1"/>
  <c r="M5" i="1" s="1"/>
  <c r="Z5" i="1" s="1"/>
  <c r="N5" i="1"/>
  <c r="L75" i="1"/>
  <c r="M75" i="1" s="1"/>
  <c r="N75" i="1"/>
  <c r="L143" i="1"/>
  <c r="M143" i="1" s="1"/>
  <c r="N143" i="1"/>
  <c r="L76" i="1"/>
  <c r="M76" i="1" s="1"/>
  <c r="N76" i="1"/>
  <c r="L44" i="1"/>
  <c r="M44" i="1" s="1"/>
  <c r="N44" i="1"/>
  <c r="L66" i="1"/>
  <c r="M66" i="1" s="1"/>
  <c r="N66" i="1"/>
  <c r="L163" i="1"/>
  <c r="M163" i="1" s="1"/>
  <c r="N163" i="1"/>
  <c r="L164" i="1"/>
  <c r="M164" i="1" s="1"/>
  <c r="N164" i="1"/>
  <c r="L15" i="1"/>
  <c r="M15" i="1" s="1"/>
  <c r="N15" i="1"/>
  <c r="L165" i="1"/>
  <c r="M165" i="1" s="1"/>
  <c r="N165" i="1"/>
  <c r="L144" i="1"/>
  <c r="M144" i="1" s="1"/>
  <c r="N144" i="1"/>
  <c r="L16" i="1"/>
  <c r="M16" i="1" s="1"/>
  <c r="N16" i="1"/>
  <c r="M17" i="1"/>
  <c r="N17" i="1"/>
  <c r="M18" i="1"/>
  <c r="N18" i="1"/>
  <c r="M19" i="1"/>
  <c r="N19" i="1"/>
  <c r="J5" i="1"/>
  <c r="J75" i="1"/>
  <c r="J143" i="1"/>
  <c r="J76" i="1"/>
  <c r="J44" i="1"/>
  <c r="J66" i="1"/>
  <c r="J163" i="1"/>
  <c r="J164" i="1"/>
  <c r="J15" i="1"/>
  <c r="J165" i="1"/>
  <c r="J144" i="1"/>
  <c r="J16" i="1"/>
  <c r="J17" i="1"/>
  <c r="J18" i="1"/>
  <c r="G5" i="1"/>
  <c r="G75" i="1"/>
  <c r="G143" i="1"/>
  <c r="G76" i="1"/>
  <c r="G44" i="1"/>
  <c r="G66" i="1"/>
  <c r="G163" i="1"/>
  <c r="G164" i="1"/>
  <c r="G15" i="1"/>
  <c r="G165" i="1"/>
  <c r="G144" i="1"/>
  <c r="G16" i="1"/>
  <c r="G17" i="1"/>
  <c r="G18" i="1"/>
  <c r="G19" i="1"/>
  <c r="L65" i="1"/>
  <c r="M65" i="1" s="1"/>
  <c r="N65" i="1"/>
  <c r="J65" i="1"/>
  <c r="G65" i="1"/>
  <c r="Q64" i="1"/>
  <c r="Q65" i="1"/>
  <c r="L64" i="1"/>
  <c r="M64" i="1" s="1"/>
  <c r="N64" i="1"/>
  <c r="J64" i="1"/>
  <c r="G64" i="1"/>
  <c r="Q142" i="1"/>
  <c r="L142" i="1"/>
  <c r="M142" i="1" s="1"/>
  <c r="N142" i="1"/>
  <c r="Q14" i="1"/>
  <c r="Q97" i="1"/>
  <c r="Q139" i="1"/>
  <c r="Q98" i="1"/>
  <c r="Q39" i="1"/>
  <c r="Q40" i="1"/>
  <c r="Q140" i="1"/>
  <c r="Q141" i="1"/>
  <c r="L14" i="1"/>
  <c r="M14" i="1" s="1"/>
  <c r="N14" i="1"/>
  <c r="L97" i="1"/>
  <c r="M97" i="1" s="1"/>
  <c r="V97" i="1" s="1"/>
  <c r="N97" i="1"/>
  <c r="L139" i="1"/>
  <c r="M139" i="1" s="1"/>
  <c r="N139" i="1"/>
  <c r="L98" i="1"/>
  <c r="M98" i="1" s="1"/>
  <c r="N98" i="1"/>
  <c r="L39" i="1"/>
  <c r="M39" i="1" s="1"/>
  <c r="N39" i="1"/>
  <c r="L40" i="1"/>
  <c r="M40" i="1" s="1"/>
  <c r="N40" i="1"/>
  <c r="L140" i="1"/>
  <c r="M140" i="1" s="1"/>
  <c r="N140" i="1"/>
  <c r="L141" i="1"/>
  <c r="M141" i="1" s="1"/>
  <c r="N141" i="1"/>
  <c r="J14" i="1"/>
  <c r="J97" i="1"/>
  <c r="J139" i="1"/>
  <c r="J98" i="1"/>
  <c r="J39" i="1"/>
  <c r="J40" i="1"/>
  <c r="J140" i="1"/>
  <c r="J141" i="1"/>
  <c r="J142" i="1"/>
  <c r="G142" i="1"/>
  <c r="G14" i="1"/>
  <c r="G97" i="1"/>
  <c r="G139" i="1"/>
  <c r="G98" i="1"/>
  <c r="G39" i="1"/>
  <c r="G40" i="1"/>
  <c r="G140" i="1"/>
  <c r="G141" i="1"/>
  <c r="Q162" i="1"/>
  <c r="L162" i="1"/>
  <c r="M162" i="1" s="1"/>
  <c r="N162" i="1"/>
  <c r="J162" i="1"/>
  <c r="G162" i="1"/>
  <c r="E118" i="17" l="1"/>
  <c r="AJ118" i="1"/>
  <c r="AJ104" i="1"/>
  <c r="D104" i="17"/>
  <c r="AF24" i="1"/>
  <c r="AL85" i="1"/>
  <c r="AF8" i="1"/>
  <c r="AF149" i="1"/>
  <c r="AF27" i="1"/>
  <c r="AF152" i="1"/>
  <c r="AF6" i="1"/>
  <c r="AF61" i="1"/>
  <c r="AF111" i="1"/>
  <c r="AF103" i="1"/>
  <c r="AD86" i="1"/>
  <c r="AB86" i="1"/>
  <c r="AF118" i="1"/>
  <c r="AF106" i="1"/>
  <c r="AF51" i="1"/>
  <c r="AF62" i="1"/>
  <c r="AF102" i="1"/>
  <c r="AF153" i="1"/>
  <c r="AF112" i="1"/>
  <c r="AF53" i="1"/>
  <c r="AF88" i="1"/>
  <c r="AF59" i="1"/>
  <c r="AF92" i="1"/>
  <c r="AF11" i="1"/>
  <c r="AF113" i="1"/>
  <c r="AF58" i="1"/>
  <c r="AF54" i="1"/>
  <c r="AF101" i="1"/>
  <c r="AF115" i="1"/>
  <c r="AF109" i="1"/>
  <c r="AF93" i="1"/>
  <c r="AF89" i="1"/>
  <c r="AF71" i="1"/>
  <c r="AB26" i="1"/>
  <c r="AD26" i="1"/>
  <c r="AF60" i="1"/>
  <c r="AF110" i="1"/>
  <c r="AF156" i="1"/>
  <c r="AF13" i="1"/>
  <c r="AF107" i="1"/>
  <c r="AF104" i="1"/>
  <c r="AF155" i="1"/>
  <c r="AF95" i="1"/>
  <c r="AF91" i="1"/>
  <c r="AF63" i="1"/>
  <c r="AF94" i="1"/>
  <c r="AF150" i="1"/>
  <c r="AF48" i="1"/>
  <c r="AF157" i="1"/>
  <c r="AF151" i="1"/>
  <c r="AF108" i="1"/>
  <c r="AF117" i="1"/>
  <c r="AF9" i="1"/>
  <c r="AF7" i="1"/>
  <c r="AF28" i="1"/>
  <c r="AF148" i="1"/>
  <c r="AF49" i="1"/>
  <c r="AF116" i="1"/>
  <c r="AF12" i="1"/>
  <c r="AF105" i="1"/>
  <c r="AF154" i="1"/>
  <c r="AF114" i="1"/>
  <c r="AF90" i="1"/>
  <c r="AF10" i="1"/>
  <c r="AD5" i="1"/>
  <c r="AB5" i="1"/>
  <c r="AD36" i="1"/>
  <c r="AB36" i="1"/>
  <c r="AD177" i="1"/>
  <c r="AB177" i="1"/>
  <c r="AB87" i="1"/>
  <c r="AD87" i="1"/>
  <c r="AD147" i="1"/>
  <c r="AB147" i="1"/>
  <c r="AD85" i="1"/>
  <c r="AB85" i="1"/>
  <c r="AD100" i="1"/>
  <c r="AB100" i="1"/>
  <c r="AB69" i="1"/>
  <c r="AD69" i="1"/>
  <c r="AD178" i="1"/>
  <c r="AB178" i="1"/>
  <c r="AD37" i="1"/>
  <c r="AB37" i="1"/>
  <c r="AD68" i="1"/>
  <c r="AB68" i="1"/>
  <c r="V141" i="1"/>
  <c r="E109" i="17" s="1"/>
  <c r="Z141" i="1"/>
  <c r="G109" i="17" s="1"/>
  <c r="V40" i="1"/>
  <c r="Z40" i="1"/>
  <c r="V98" i="1"/>
  <c r="Z98" i="1"/>
  <c r="Z97" i="1"/>
  <c r="G103" i="17" s="1"/>
  <c r="V142" i="1"/>
  <c r="Z142" i="1"/>
  <c r="V18" i="1"/>
  <c r="Z18" i="1"/>
  <c r="V16" i="1"/>
  <c r="Z16" i="1"/>
  <c r="V165" i="1"/>
  <c r="Z165" i="1"/>
  <c r="V164" i="1"/>
  <c r="E107" i="17" s="1"/>
  <c r="Z164" i="1"/>
  <c r="G107" i="17" s="1"/>
  <c r="V66" i="1"/>
  <c r="Z66" i="1"/>
  <c r="V76" i="1"/>
  <c r="Z76" i="1"/>
  <c r="V75" i="1"/>
  <c r="Z75" i="1"/>
  <c r="V166" i="1"/>
  <c r="Z166" i="1"/>
  <c r="V64" i="1"/>
  <c r="Z64" i="1"/>
  <c r="V67" i="1"/>
  <c r="E101" i="17" s="1"/>
  <c r="V84" i="1"/>
  <c r="Z84" i="1"/>
  <c r="V79" i="1"/>
  <c r="Z79" i="1"/>
  <c r="V175" i="1"/>
  <c r="Z175" i="1"/>
  <c r="V173" i="1"/>
  <c r="Z173" i="1"/>
  <c r="V45" i="1"/>
  <c r="E105" i="17" s="1"/>
  <c r="Z45" i="1"/>
  <c r="G105" i="17" s="1"/>
  <c r="V55" i="1"/>
  <c r="Z55" i="1"/>
  <c r="V172" i="1"/>
  <c r="Z172" i="1"/>
  <c r="V170" i="1"/>
  <c r="Z170" i="1"/>
  <c r="V168" i="1"/>
  <c r="Z168" i="1"/>
  <c r="V43" i="1"/>
  <c r="E104" i="17" s="1"/>
  <c r="Z43" i="1"/>
  <c r="G104" i="17" s="1"/>
  <c r="V140" i="1"/>
  <c r="Z140" i="1"/>
  <c r="V39" i="1"/>
  <c r="Z39" i="1"/>
  <c r="V139" i="1"/>
  <c r="Z139" i="1"/>
  <c r="V14" i="1"/>
  <c r="Z14" i="1"/>
  <c r="V19" i="1"/>
  <c r="Z19" i="1"/>
  <c r="V17" i="1"/>
  <c r="Z17" i="1"/>
  <c r="V144" i="1"/>
  <c r="Z144" i="1"/>
  <c r="V15" i="1"/>
  <c r="Z15" i="1"/>
  <c r="V163" i="1"/>
  <c r="Z163" i="1"/>
  <c r="V44" i="1"/>
  <c r="Z44" i="1"/>
  <c r="V143" i="1"/>
  <c r="Z143" i="1"/>
  <c r="V5" i="1"/>
  <c r="V145" i="1"/>
  <c r="Z145" i="1"/>
  <c r="V41" i="1"/>
  <c r="V78" i="1"/>
  <c r="Z78" i="1"/>
  <c r="V162" i="1"/>
  <c r="Z162" i="1"/>
  <c r="V65" i="1"/>
  <c r="Z65" i="1"/>
  <c r="V146" i="1"/>
  <c r="Z146" i="1"/>
  <c r="V23" i="1"/>
  <c r="Z23" i="1"/>
  <c r="V52" i="1"/>
  <c r="E100" i="17" s="1"/>
  <c r="V57" i="1"/>
  <c r="Z57" i="1"/>
  <c r="V176" i="1"/>
  <c r="Z176" i="1"/>
  <c r="V174" i="1"/>
  <c r="Z174" i="1"/>
  <c r="V46" i="1"/>
  <c r="E91" i="17" s="1"/>
  <c r="Z46" i="1"/>
  <c r="G106" i="17" s="1"/>
  <c r="V56" i="1"/>
  <c r="Z56" i="1"/>
  <c r="V99" i="1"/>
  <c r="Z99" i="1"/>
  <c r="G100" i="17" s="1"/>
  <c r="V171" i="1"/>
  <c r="Z171" i="1"/>
  <c r="V169" i="1"/>
  <c r="Z169" i="1"/>
  <c r="V167" i="1"/>
  <c r="Z167" i="1"/>
  <c r="V42" i="1"/>
  <c r="Z42" i="1"/>
  <c r="R45" i="1"/>
  <c r="D105" i="17" s="1"/>
  <c r="R23" i="1"/>
  <c r="R57" i="1"/>
  <c r="R67" i="1"/>
  <c r="R52" i="1"/>
  <c r="R84" i="1"/>
  <c r="R79" i="1"/>
  <c r="R175" i="1"/>
  <c r="R173" i="1"/>
  <c r="R55" i="1"/>
  <c r="R172" i="1"/>
  <c r="R171" i="1"/>
  <c r="R170" i="1"/>
  <c r="R168" i="1"/>
  <c r="R167" i="1"/>
  <c r="R176" i="1"/>
  <c r="R46" i="1"/>
  <c r="D106" i="17" s="1"/>
  <c r="R174" i="1"/>
  <c r="R56" i="1"/>
  <c r="R99" i="1"/>
  <c r="R169" i="1"/>
  <c r="R43" i="1"/>
  <c r="R42" i="1"/>
  <c r="R78" i="1"/>
  <c r="R41" i="1"/>
  <c r="R166" i="1"/>
  <c r="AI85" i="1" s="1"/>
  <c r="R146" i="1"/>
  <c r="R145" i="1"/>
  <c r="R18" i="1"/>
  <c r="R165" i="1"/>
  <c r="R66" i="1"/>
  <c r="R75" i="1"/>
  <c r="R16" i="1"/>
  <c r="R164" i="1"/>
  <c r="R76" i="1"/>
  <c r="R17" i="1"/>
  <c r="R44" i="1"/>
  <c r="R144" i="1"/>
  <c r="R143" i="1"/>
  <c r="R19" i="1"/>
  <c r="R163" i="1"/>
  <c r="R15" i="1"/>
  <c r="R5" i="1"/>
  <c r="R64" i="1"/>
  <c r="R40" i="1"/>
  <c r="R65" i="1"/>
  <c r="R141" i="1"/>
  <c r="R39" i="1"/>
  <c r="R14" i="1"/>
  <c r="R142" i="1"/>
  <c r="R140" i="1"/>
  <c r="R98" i="1"/>
  <c r="R139" i="1"/>
  <c r="R97" i="1"/>
  <c r="AK118" i="1" s="1"/>
  <c r="R162" i="1"/>
  <c r="Q161" i="1"/>
  <c r="L161" i="1"/>
  <c r="M161" i="1" s="1"/>
  <c r="N161" i="1"/>
  <c r="J161" i="1"/>
  <c r="G161" i="1"/>
  <c r="Q135" i="1"/>
  <c r="L135" i="1"/>
  <c r="M135" i="1" s="1"/>
  <c r="N135" i="1"/>
  <c r="J135" i="1"/>
  <c r="G135" i="1"/>
  <c r="L21" i="1"/>
  <c r="M21" i="1" s="1"/>
  <c r="N21" i="1"/>
  <c r="L96" i="1"/>
  <c r="M96" i="1" s="1"/>
  <c r="N96" i="1"/>
  <c r="Q21" i="1"/>
  <c r="Q96" i="1"/>
  <c r="Q138" i="1"/>
  <c r="Q20" i="1"/>
  <c r="L138" i="1"/>
  <c r="M138" i="1" s="1"/>
  <c r="N138" i="1"/>
  <c r="M20" i="1"/>
  <c r="N20" i="1"/>
  <c r="J138" i="1"/>
  <c r="J20" i="1"/>
  <c r="J21" i="1"/>
  <c r="J96" i="1"/>
  <c r="G138" i="1"/>
  <c r="G20" i="1"/>
  <c r="G21" i="1"/>
  <c r="G96" i="1"/>
  <c r="Q34" i="1"/>
  <c r="Q35" i="1"/>
  <c r="Q136" i="1"/>
  <c r="Q137" i="1"/>
  <c r="L34" i="1"/>
  <c r="M34" i="1" s="1"/>
  <c r="N34" i="1"/>
  <c r="L35" i="1"/>
  <c r="M35" i="1" s="1"/>
  <c r="N35" i="1"/>
  <c r="L136" i="1"/>
  <c r="M136" i="1" s="1"/>
  <c r="N136" i="1"/>
  <c r="L137" i="1"/>
  <c r="M137" i="1" s="1"/>
  <c r="N137" i="1"/>
  <c r="J34" i="1"/>
  <c r="J35" i="1"/>
  <c r="J136" i="1"/>
  <c r="J137" i="1"/>
  <c r="G34" i="1"/>
  <c r="G35" i="1"/>
  <c r="G136" i="1"/>
  <c r="G137" i="1"/>
  <c r="G33" i="1"/>
  <c r="Q160" i="1"/>
  <c r="L160" i="1"/>
  <c r="M160" i="1" s="1"/>
  <c r="N160" i="1"/>
  <c r="N30" i="1"/>
  <c r="J160" i="1"/>
  <c r="G160" i="1"/>
  <c r="Q30" i="1"/>
  <c r="L30" i="1"/>
  <c r="M30" i="1" s="1"/>
  <c r="J30" i="1"/>
  <c r="G30" i="1"/>
  <c r="Q134" i="1"/>
  <c r="L134" i="1"/>
  <c r="M134" i="1" s="1"/>
  <c r="N134" i="1"/>
  <c r="J134" i="1"/>
  <c r="G134" i="1"/>
  <c r="Q74" i="1"/>
  <c r="L74" i="1"/>
  <c r="M74" i="1" s="1"/>
  <c r="N74" i="1"/>
  <c r="J74" i="1"/>
  <c r="G74" i="1"/>
  <c r="Q159" i="1"/>
  <c r="M159" i="1"/>
  <c r="N159" i="1"/>
  <c r="J159" i="1"/>
  <c r="G159" i="1"/>
  <c r="Q83" i="1"/>
  <c r="L83" i="1"/>
  <c r="M83" i="1" s="1"/>
  <c r="N83" i="1"/>
  <c r="J83" i="1"/>
  <c r="G83" i="1"/>
  <c r="Q82" i="1"/>
  <c r="L82" i="1"/>
  <c r="M82" i="1" s="1"/>
  <c r="N82" i="1"/>
  <c r="J82" i="1"/>
  <c r="G82" i="1"/>
  <c r="Q133" i="1"/>
  <c r="L133" i="1"/>
  <c r="M133" i="1" s="1"/>
  <c r="N133" i="1"/>
  <c r="J133" i="1"/>
  <c r="G133" i="1"/>
  <c r="G29" i="1"/>
  <c r="G81" i="1"/>
  <c r="Q73" i="1"/>
  <c r="N73" i="1"/>
  <c r="M73" i="1"/>
  <c r="J73" i="1"/>
  <c r="G73" i="1"/>
  <c r="Q131" i="1"/>
  <c r="Q132" i="1"/>
  <c r="N131" i="1"/>
  <c r="N132" i="1"/>
  <c r="L132" i="1"/>
  <c r="M132" i="1" s="1"/>
  <c r="L131" i="1"/>
  <c r="M131" i="1" s="1"/>
  <c r="J131" i="1"/>
  <c r="J132" i="1"/>
  <c r="G131" i="1"/>
  <c r="G132" i="1"/>
  <c r="Q158" i="1"/>
  <c r="Q130" i="1"/>
  <c r="Q72" i="1"/>
  <c r="Q29" i="1"/>
  <c r="Q81" i="1"/>
  <c r="Q31" i="1"/>
  <c r="Q32" i="1"/>
  <c r="Q33" i="1"/>
  <c r="Q3" i="1"/>
  <c r="Q4" i="1"/>
  <c r="Q77" i="1"/>
  <c r="J130" i="1"/>
  <c r="J72" i="1"/>
  <c r="J29" i="1"/>
  <c r="J81" i="1"/>
  <c r="J31" i="1"/>
  <c r="J32" i="1"/>
  <c r="J33" i="1"/>
  <c r="J3" i="1"/>
  <c r="J4" i="1"/>
  <c r="J77" i="1"/>
  <c r="G130" i="1"/>
  <c r="G72" i="1"/>
  <c r="G31" i="1"/>
  <c r="G32" i="1"/>
  <c r="G3" i="1"/>
  <c r="G4" i="1"/>
  <c r="G77" i="1"/>
  <c r="L130" i="1"/>
  <c r="M130" i="1" s="1"/>
  <c r="N130" i="1"/>
  <c r="L72" i="1"/>
  <c r="M72" i="1" s="1"/>
  <c r="N72" i="1"/>
  <c r="M29" i="1"/>
  <c r="N29" i="1"/>
  <c r="M81" i="1"/>
  <c r="N81" i="1"/>
  <c r="L31" i="1"/>
  <c r="M31" i="1" s="1"/>
  <c r="N31" i="1"/>
  <c r="L32" i="1"/>
  <c r="M32" i="1" s="1"/>
  <c r="N32" i="1"/>
  <c r="L33" i="1"/>
  <c r="M33" i="1" s="1"/>
  <c r="N33" i="1"/>
  <c r="N3" i="1"/>
  <c r="L4" i="1"/>
  <c r="M4" i="1" s="1"/>
  <c r="Z4" i="1" s="1"/>
  <c r="N4" i="1"/>
  <c r="L77" i="1"/>
  <c r="M77" i="1" s="1"/>
  <c r="N77" i="1"/>
  <c r="J158" i="1"/>
  <c r="G158" i="1"/>
  <c r="AJ100" i="1" l="1"/>
  <c r="AL118" i="1"/>
  <c r="G118" i="17"/>
  <c r="AI118" i="1"/>
  <c r="D118" i="17"/>
  <c r="G101" i="17"/>
  <c r="AJ85" i="1"/>
  <c r="AK85" i="1"/>
  <c r="AJ48" i="1"/>
  <c r="AL91" i="1"/>
  <c r="AI91" i="1"/>
  <c r="AJ91" i="1"/>
  <c r="AK91" i="1"/>
  <c r="E103" i="17"/>
  <c r="AI100" i="1"/>
  <c r="AI69" i="1"/>
  <c r="G111" i="17"/>
  <c r="AL100" i="1"/>
  <c r="E70" i="17"/>
  <c r="E111" i="17"/>
  <c r="AK100" i="1"/>
  <c r="AL107" i="1"/>
  <c r="AI107" i="1"/>
  <c r="AJ107" i="1"/>
  <c r="AK107" i="1"/>
  <c r="D107" i="17"/>
  <c r="AI48" i="1"/>
  <c r="E48" i="17"/>
  <c r="AK48" i="1"/>
  <c r="AL48" i="1"/>
  <c r="AL49" i="1"/>
  <c r="E106" i="17"/>
  <c r="AK104" i="1"/>
  <c r="AI104" i="1"/>
  <c r="E50" i="17"/>
  <c r="AL104" i="1"/>
  <c r="AK101" i="1"/>
  <c r="AJ101" i="1"/>
  <c r="AL101" i="1"/>
  <c r="AI101" i="1"/>
  <c r="AI50" i="1"/>
  <c r="AJ50" i="1"/>
  <c r="AK50" i="1"/>
  <c r="AL50" i="1"/>
  <c r="AJ106" i="1"/>
  <c r="AI106" i="1"/>
  <c r="AK106" i="1"/>
  <c r="AL106" i="1"/>
  <c r="AJ105" i="1"/>
  <c r="AI105" i="1"/>
  <c r="AK105" i="1"/>
  <c r="AL105" i="1"/>
  <c r="E71" i="17"/>
  <c r="AJ109" i="1"/>
  <c r="AK109" i="1"/>
  <c r="AL109" i="1"/>
  <c r="AI109" i="1"/>
  <c r="AJ89" i="1"/>
  <c r="AK89" i="1"/>
  <c r="AL89" i="1"/>
  <c r="AI89" i="1"/>
  <c r="AK54" i="1"/>
  <c r="AJ54" i="1"/>
  <c r="AL54" i="1"/>
  <c r="AI54" i="1"/>
  <c r="AJ90" i="1"/>
  <c r="AK90" i="1"/>
  <c r="AL90" i="1"/>
  <c r="AI90" i="1"/>
  <c r="E61" i="17"/>
  <c r="E69" i="17"/>
  <c r="AL69" i="1"/>
  <c r="AL103" i="1"/>
  <c r="AJ103" i="1"/>
  <c r="AK103" i="1"/>
  <c r="AI103" i="1"/>
  <c r="AK60" i="1"/>
  <c r="AJ60" i="1"/>
  <c r="AL60" i="1"/>
  <c r="AI60" i="1"/>
  <c r="AK70" i="1"/>
  <c r="AI70" i="1"/>
  <c r="AJ70" i="1"/>
  <c r="AL70" i="1"/>
  <c r="E80" i="17"/>
  <c r="AJ69" i="1"/>
  <c r="AL80" i="1"/>
  <c r="AI80" i="1"/>
  <c r="AJ80" i="1"/>
  <c r="AK80" i="1"/>
  <c r="AJ59" i="1"/>
  <c r="AI59" i="1"/>
  <c r="AK59" i="1"/>
  <c r="AL59" i="1"/>
  <c r="AI111" i="1"/>
  <c r="AK111" i="1"/>
  <c r="AL111" i="1"/>
  <c r="AJ111" i="1"/>
  <c r="AI61" i="1"/>
  <c r="AJ61" i="1"/>
  <c r="AL61" i="1"/>
  <c r="AK61" i="1"/>
  <c r="E89" i="17"/>
  <c r="E97" i="17"/>
  <c r="E54" i="17"/>
  <c r="E59" i="17"/>
  <c r="AK69" i="1"/>
  <c r="D111" i="17"/>
  <c r="D109" i="17"/>
  <c r="K118" i="17"/>
  <c r="E90" i="17"/>
  <c r="D103" i="17"/>
  <c r="AL97" i="1"/>
  <c r="AI97" i="1"/>
  <c r="AJ97" i="1"/>
  <c r="AK97" i="1"/>
  <c r="AJ65" i="1"/>
  <c r="AL65" i="1"/>
  <c r="AI65" i="1"/>
  <c r="AK65" i="1"/>
  <c r="D80" i="17"/>
  <c r="AJ168" i="1"/>
  <c r="AK168" i="1"/>
  <c r="AI168" i="1"/>
  <c r="AL168" i="1"/>
  <c r="D50" i="17"/>
  <c r="D69" i="17"/>
  <c r="AL41" i="1"/>
  <c r="D91" i="17"/>
  <c r="AJ46" i="1"/>
  <c r="AL46" i="1"/>
  <c r="AK46" i="1"/>
  <c r="AI46" i="1"/>
  <c r="AJ173" i="1"/>
  <c r="AK173" i="1"/>
  <c r="AL173" i="1"/>
  <c r="AI173" i="1"/>
  <c r="D100" i="17"/>
  <c r="AJ52" i="1"/>
  <c r="AL52" i="1"/>
  <c r="AK52" i="1"/>
  <c r="AI52" i="1"/>
  <c r="D90" i="17"/>
  <c r="AK45" i="1"/>
  <c r="D48" i="17"/>
  <c r="D54" i="17"/>
  <c r="D70" i="17"/>
  <c r="D59" i="17"/>
  <c r="AJ75" i="1"/>
  <c r="AL75" i="1"/>
  <c r="AI75" i="1"/>
  <c r="AK75" i="1"/>
  <c r="AL99" i="1"/>
  <c r="AI99" i="1"/>
  <c r="AJ99" i="1"/>
  <c r="AK99" i="1"/>
  <c r="D101" i="17"/>
  <c r="D61" i="17"/>
  <c r="AK66" i="1"/>
  <c r="D89" i="17"/>
  <c r="AJ172" i="1"/>
  <c r="AK172" i="1"/>
  <c r="AI172" i="1"/>
  <c r="AL172" i="1"/>
  <c r="AF87" i="1"/>
  <c r="AF178" i="1"/>
  <c r="AF5" i="1"/>
  <c r="AF26" i="1"/>
  <c r="AF69" i="1"/>
  <c r="AF177" i="1"/>
  <c r="AB46" i="1"/>
  <c r="I106" i="17" s="1"/>
  <c r="AD46" i="1"/>
  <c r="AF147" i="1"/>
  <c r="AF68" i="1"/>
  <c r="AF100" i="1"/>
  <c r="AF36" i="1"/>
  <c r="AF37" i="1"/>
  <c r="AF85" i="1"/>
  <c r="AF86" i="1"/>
  <c r="AD146" i="1"/>
  <c r="AB146" i="1"/>
  <c r="AD143" i="1"/>
  <c r="AB143" i="1"/>
  <c r="AD144" i="1"/>
  <c r="AB144" i="1"/>
  <c r="AB19" i="1"/>
  <c r="AD19" i="1"/>
  <c r="AD139" i="1"/>
  <c r="AB139" i="1"/>
  <c r="AD140" i="1"/>
  <c r="AB140" i="1"/>
  <c r="AD172" i="1"/>
  <c r="AB172" i="1"/>
  <c r="AD45" i="1"/>
  <c r="K105" i="17" s="1"/>
  <c r="AB45" i="1"/>
  <c r="I105" i="17" s="1"/>
  <c r="AD175" i="1"/>
  <c r="AB175" i="1"/>
  <c r="AD84" i="1"/>
  <c r="AB84" i="1"/>
  <c r="AD98" i="1"/>
  <c r="AB98" i="1"/>
  <c r="I100" i="17" s="1"/>
  <c r="AD141" i="1"/>
  <c r="AB141" i="1"/>
  <c r="AD4" i="1"/>
  <c r="AB4" i="1"/>
  <c r="AD42" i="1"/>
  <c r="AB42" i="1"/>
  <c r="AD169" i="1"/>
  <c r="AB169" i="1"/>
  <c r="AD99" i="1"/>
  <c r="K99" i="17" s="1"/>
  <c r="AB99" i="1"/>
  <c r="I99" i="17" s="1"/>
  <c r="AD176" i="1"/>
  <c r="AB176" i="1"/>
  <c r="AD145" i="1"/>
  <c r="AB145" i="1"/>
  <c r="AD166" i="1"/>
  <c r="K85" i="17" s="1"/>
  <c r="AB166" i="1"/>
  <c r="AD76" i="1"/>
  <c r="AB76" i="1"/>
  <c r="AD164" i="1"/>
  <c r="K107" i="17" s="1"/>
  <c r="AB164" i="1"/>
  <c r="I107" i="17" s="1"/>
  <c r="AD16" i="1"/>
  <c r="AB16" i="1"/>
  <c r="I91" i="17" s="1"/>
  <c r="AD142" i="1"/>
  <c r="AB142" i="1"/>
  <c r="AB23" i="1"/>
  <c r="AD23" i="1"/>
  <c r="AD65" i="1"/>
  <c r="K65" i="17" s="1"/>
  <c r="AB65" i="1"/>
  <c r="I65" i="17" s="1"/>
  <c r="AD78" i="1"/>
  <c r="AB78" i="1"/>
  <c r="AD44" i="1"/>
  <c r="AB44" i="1"/>
  <c r="AD15" i="1"/>
  <c r="AB15" i="1"/>
  <c r="AD17" i="1"/>
  <c r="AB17" i="1"/>
  <c r="AD14" i="1"/>
  <c r="AB14" i="1"/>
  <c r="AD39" i="1"/>
  <c r="AB39" i="1"/>
  <c r="AD43" i="1"/>
  <c r="K60" i="17" s="1"/>
  <c r="AB43" i="1"/>
  <c r="I60" i="17" s="1"/>
  <c r="AD170" i="1"/>
  <c r="AB170" i="1"/>
  <c r="AD55" i="1"/>
  <c r="K52" i="17" s="1"/>
  <c r="AB55" i="1"/>
  <c r="AD173" i="1"/>
  <c r="AB173" i="1"/>
  <c r="I173" i="17" s="1"/>
  <c r="AD79" i="1"/>
  <c r="AB79" i="1"/>
  <c r="AD40" i="1"/>
  <c r="AB40" i="1"/>
  <c r="AD162" i="1"/>
  <c r="AB162" i="1"/>
  <c r="AD163" i="1"/>
  <c r="K48" i="17" s="1"/>
  <c r="AB163" i="1"/>
  <c r="I48" i="17" s="1"/>
  <c r="AD168" i="1"/>
  <c r="AB168" i="1"/>
  <c r="D46" i="17"/>
  <c r="AD167" i="1"/>
  <c r="AB167" i="1"/>
  <c r="AD171" i="1"/>
  <c r="AB171" i="1"/>
  <c r="AD56" i="1"/>
  <c r="AB56" i="1"/>
  <c r="AD174" i="1"/>
  <c r="AB174" i="1"/>
  <c r="AD57" i="1"/>
  <c r="AB57" i="1"/>
  <c r="E75" i="17"/>
  <c r="AB64" i="1"/>
  <c r="AD64" i="1"/>
  <c r="AD75" i="1"/>
  <c r="K59" i="17" s="1"/>
  <c r="AB75" i="1"/>
  <c r="I59" i="17" s="1"/>
  <c r="AB66" i="1"/>
  <c r="AD66" i="1"/>
  <c r="AD165" i="1"/>
  <c r="AB165" i="1"/>
  <c r="AD18" i="1"/>
  <c r="AB18" i="1"/>
  <c r="AD97" i="1"/>
  <c r="AB97" i="1"/>
  <c r="I118" i="17" s="1"/>
  <c r="D66" i="17"/>
  <c r="D52" i="17"/>
  <c r="D60" i="17"/>
  <c r="D172" i="17"/>
  <c r="D97" i="17"/>
  <c r="E99" i="17"/>
  <c r="G173" i="17"/>
  <c r="E65" i="17"/>
  <c r="D65" i="17"/>
  <c r="D168" i="17"/>
  <c r="E173" i="17"/>
  <c r="D173" i="17"/>
  <c r="E85" i="17"/>
  <c r="G168" i="17"/>
  <c r="G172" i="17"/>
  <c r="D75" i="17"/>
  <c r="D99" i="17"/>
  <c r="D85" i="17"/>
  <c r="G99" i="17"/>
  <c r="E44" i="17"/>
  <c r="E60" i="17"/>
  <c r="E51" i="17"/>
  <c r="E168" i="17"/>
  <c r="E172" i="17"/>
  <c r="E52" i="17"/>
  <c r="E46" i="17"/>
  <c r="G75" i="17"/>
  <c r="G70" i="17"/>
  <c r="G49" i="17"/>
  <c r="G80" i="17"/>
  <c r="G50" i="17"/>
  <c r="G85" i="17"/>
  <c r="G89" i="17"/>
  <c r="G97" i="17"/>
  <c r="G54" i="17"/>
  <c r="G59" i="17"/>
  <c r="G67" i="17"/>
  <c r="G71" i="17"/>
  <c r="G46" i="17"/>
  <c r="G60" i="17"/>
  <c r="G64" i="17"/>
  <c r="G90" i="17"/>
  <c r="G48" i="17"/>
  <c r="G52" i="17"/>
  <c r="G87" i="17"/>
  <c r="G91" i="17"/>
  <c r="G61" i="17"/>
  <c r="G65" i="17"/>
  <c r="G69" i="17"/>
  <c r="R137" i="1"/>
  <c r="AJ38" i="1" s="1"/>
  <c r="V77" i="1"/>
  <c r="Z77" i="1"/>
  <c r="V81" i="1"/>
  <c r="E81" i="17" s="1"/>
  <c r="Z81" i="1"/>
  <c r="G98" i="17" s="1"/>
  <c r="V72" i="1"/>
  <c r="E19" i="17" s="1"/>
  <c r="Z72" i="1"/>
  <c r="G68" i="17" s="1"/>
  <c r="V132" i="1"/>
  <c r="E63" i="17" s="1"/>
  <c r="Z132" i="1"/>
  <c r="G63" i="17" s="1"/>
  <c r="V82" i="1"/>
  <c r="Z82" i="1"/>
  <c r="V134" i="1"/>
  <c r="Z134" i="1"/>
  <c r="G78" i="17" s="1"/>
  <c r="V30" i="1"/>
  <c r="Z30" i="1"/>
  <c r="G94" i="17" s="1"/>
  <c r="V136" i="1"/>
  <c r="E115" i="17" s="1"/>
  <c r="Z136" i="1"/>
  <c r="G115" i="17" s="1"/>
  <c r="V34" i="1"/>
  <c r="E113" i="17" s="1"/>
  <c r="Z34" i="1"/>
  <c r="G113" i="17" s="1"/>
  <c r="V138" i="1"/>
  <c r="E108" i="17" s="1"/>
  <c r="Z138" i="1"/>
  <c r="G108" i="17" s="1"/>
  <c r="V21" i="1"/>
  <c r="E41" i="17" s="1"/>
  <c r="Z21" i="1"/>
  <c r="V135" i="1"/>
  <c r="Z135" i="1"/>
  <c r="V32" i="1"/>
  <c r="E86" i="17" s="1"/>
  <c r="Z32" i="1"/>
  <c r="G86" i="17" s="1"/>
  <c r="V83" i="1"/>
  <c r="E25" i="17" s="1"/>
  <c r="Z83" i="1"/>
  <c r="G66" i="17" s="1"/>
  <c r="V161" i="1"/>
  <c r="E110" i="17" s="1"/>
  <c r="Z161" i="1"/>
  <c r="G110" i="17" s="1"/>
  <c r="V3" i="1"/>
  <c r="E169" i="17" s="1"/>
  <c r="V4" i="1"/>
  <c r="E57" i="17" s="1"/>
  <c r="V33" i="1"/>
  <c r="E34" i="17" s="1"/>
  <c r="Z33" i="1"/>
  <c r="V31" i="1"/>
  <c r="E92" i="17" s="1"/>
  <c r="Z31" i="1"/>
  <c r="G92" i="17" s="1"/>
  <c r="V29" i="1"/>
  <c r="Z29" i="1"/>
  <c r="V130" i="1"/>
  <c r="Z130" i="1"/>
  <c r="V159" i="1"/>
  <c r="E88" i="17" s="1"/>
  <c r="Z159" i="1"/>
  <c r="V160" i="1"/>
  <c r="Z160" i="1"/>
  <c r="V137" i="1"/>
  <c r="Z137" i="1"/>
  <c r="V35" i="1"/>
  <c r="E36" i="17" s="1"/>
  <c r="Z35" i="1"/>
  <c r="G58" i="17" s="1"/>
  <c r="V20" i="1"/>
  <c r="E55" i="17" s="1"/>
  <c r="Z20" i="1"/>
  <c r="V96" i="1"/>
  <c r="E42" i="17" s="1"/>
  <c r="Z96" i="1"/>
  <c r="G102" i="17" s="1"/>
  <c r="V131" i="1"/>
  <c r="Z131" i="1"/>
  <c r="V73" i="1"/>
  <c r="E47" i="17" s="1"/>
  <c r="Z73" i="1"/>
  <c r="G47" i="17" s="1"/>
  <c r="V133" i="1"/>
  <c r="Z133" i="1"/>
  <c r="V74" i="1"/>
  <c r="E79" i="17" s="1"/>
  <c r="Z74" i="1"/>
  <c r="R20" i="1"/>
  <c r="AK55" i="1" s="1"/>
  <c r="R136" i="1"/>
  <c r="R34" i="1"/>
  <c r="R35" i="1"/>
  <c r="AI114" i="1" s="1"/>
  <c r="R135" i="1"/>
  <c r="R161" i="1"/>
  <c r="R96" i="1"/>
  <c r="D87" i="17" s="1"/>
  <c r="R138" i="1"/>
  <c r="AJ37" i="1" s="1"/>
  <c r="R21" i="1"/>
  <c r="AJ67" i="1" s="1"/>
  <c r="R160" i="1"/>
  <c r="R30" i="1"/>
  <c r="D51" i="17" s="1"/>
  <c r="R134" i="1"/>
  <c r="AI27" i="1" s="1"/>
  <c r="R74" i="1"/>
  <c r="AI79" i="1" s="1"/>
  <c r="R159" i="1"/>
  <c r="R83" i="1"/>
  <c r="AI66" i="1" s="1"/>
  <c r="R82" i="1"/>
  <c r="AK56" i="1" s="1"/>
  <c r="R133" i="1"/>
  <c r="R73" i="1"/>
  <c r="D47" i="17" s="1"/>
  <c r="R132" i="1"/>
  <c r="AL169" i="1" s="1"/>
  <c r="R131" i="1"/>
  <c r="AK16" i="1" s="1"/>
  <c r="R77" i="1"/>
  <c r="R32" i="1"/>
  <c r="AJ64" i="1" s="1"/>
  <c r="R72" i="1"/>
  <c r="AK19" i="1" s="1"/>
  <c r="R4" i="1"/>
  <c r="AK49" i="1" s="1"/>
  <c r="R81" i="1"/>
  <c r="R31" i="1"/>
  <c r="D92" i="17" s="1"/>
  <c r="R33" i="1"/>
  <c r="R130" i="1"/>
  <c r="AL15" i="1" s="1"/>
  <c r="R3" i="1"/>
  <c r="AI169" i="1" s="1"/>
  <c r="R29" i="1"/>
  <c r="Q121" i="1"/>
  <c r="Q122" i="1"/>
  <c r="Q123" i="1"/>
  <c r="Q124" i="1"/>
  <c r="Q125" i="1"/>
  <c r="Q126" i="1"/>
  <c r="Q127" i="1"/>
  <c r="Q128" i="1"/>
  <c r="Q129" i="1"/>
  <c r="L121" i="1"/>
  <c r="M121" i="1" s="1"/>
  <c r="N121" i="1"/>
  <c r="L122" i="1"/>
  <c r="M122" i="1" s="1"/>
  <c r="N122" i="1"/>
  <c r="L123" i="1"/>
  <c r="M123" i="1" s="1"/>
  <c r="N123" i="1"/>
  <c r="L124" i="1"/>
  <c r="M124" i="1" s="1"/>
  <c r="N124" i="1"/>
  <c r="L125" i="1"/>
  <c r="M125" i="1" s="1"/>
  <c r="N125" i="1"/>
  <c r="L126" i="1"/>
  <c r="M126" i="1" s="1"/>
  <c r="N126" i="1"/>
  <c r="L127" i="1"/>
  <c r="M127" i="1" s="1"/>
  <c r="N127" i="1"/>
  <c r="L128" i="1"/>
  <c r="M128" i="1" s="1"/>
  <c r="N128" i="1"/>
  <c r="L129" i="1"/>
  <c r="M129" i="1" s="1"/>
  <c r="N129" i="1"/>
  <c r="L158" i="1"/>
  <c r="M158" i="1" s="1"/>
  <c r="N158" i="1"/>
  <c r="R158" i="1" s="1"/>
  <c r="AK18" i="1" s="1"/>
  <c r="J121" i="1"/>
  <c r="J122" i="1"/>
  <c r="J123" i="1"/>
  <c r="J124" i="1"/>
  <c r="J125" i="1"/>
  <c r="J126" i="1"/>
  <c r="J127" i="1"/>
  <c r="J128" i="1"/>
  <c r="J129" i="1"/>
  <c r="G121" i="1"/>
  <c r="G122" i="1"/>
  <c r="G123" i="1"/>
  <c r="G124" i="1"/>
  <c r="G125" i="1"/>
  <c r="G126" i="1"/>
  <c r="G127" i="1"/>
  <c r="G128" i="1"/>
  <c r="G129" i="1"/>
  <c r="Q120" i="1"/>
  <c r="N120" i="1"/>
  <c r="L120" i="1"/>
  <c r="M120" i="1" s="1"/>
  <c r="J120" i="1"/>
  <c r="G120" i="1"/>
  <c r="Q119" i="1"/>
  <c r="N119" i="1"/>
  <c r="L119" i="1"/>
  <c r="M119" i="1" s="1"/>
  <c r="J119" i="1"/>
  <c r="G119" i="1"/>
  <c r="AK42" i="1" l="1"/>
  <c r="K91" i="17"/>
  <c r="AI17" i="1"/>
  <c r="AK40" i="1"/>
  <c r="I85" i="17"/>
  <c r="AL18" i="1"/>
  <c r="AK39" i="1"/>
  <c r="AK57" i="1"/>
  <c r="AL56" i="1"/>
  <c r="AL42" i="1"/>
  <c r="AL17" i="1"/>
  <c r="AI19" i="1"/>
  <c r="AJ41" i="1"/>
  <c r="AJ18" i="1"/>
  <c r="AJ16" i="1"/>
  <c r="AL40" i="1"/>
  <c r="AK15" i="1"/>
  <c r="AK38" i="1"/>
  <c r="AI57" i="1"/>
  <c r="AJ42" i="1"/>
  <c r="AJ17" i="1"/>
  <c r="AL19" i="1"/>
  <c r="AK41" i="1"/>
  <c r="AI18" i="1"/>
  <c r="AI16" i="1"/>
  <c r="AJ40" i="1"/>
  <c r="AI15" i="1"/>
  <c r="AL38" i="1"/>
  <c r="AI38" i="1"/>
  <c r="AJ57" i="1"/>
  <c r="AL16" i="1"/>
  <c r="AJ15" i="1"/>
  <c r="K89" i="17"/>
  <c r="AL57" i="1"/>
  <c r="AI42" i="1"/>
  <c r="AK17" i="1"/>
  <c r="AJ19" i="1"/>
  <c r="AI41" i="1"/>
  <c r="AI40" i="1"/>
  <c r="AJ28" i="1"/>
  <c r="K100" i="17"/>
  <c r="AK27" i="1"/>
  <c r="AI28" i="1"/>
  <c r="AL98" i="1"/>
  <c r="AL27" i="1"/>
  <c r="AL28" i="1"/>
  <c r="AJ49" i="1"/>
  <c r="AJ27" i="1"/>
  <c r="AK28" i="1"/>
  <c r="AI49" i="1"/>
  <c r="I89" i="17"/>
  <c r="D49" i="17"/>
  <c r="E49" i="17"/>
  <c r="AK139" i="1"/>
  <c r="E78" i="17"/>
  <c r="AJ78" i="1"/>
  <c r="AL79" i="1"/>
  <c r="D79" i="17"/>
  <c r="AI84" i="1"/>
  <c r="E117" i="17"/>
  <c r="D117" i="17"/>
  <c r="AJ24" i="1"/>
  <c r="G84" i="17"/>
  <c r="AJ79" i="1"/>
  <c r="AK84" i="1"/>
  <c r="AK117" i="1"/>
  <c r="AL26" i="1"/>
  <c r="AK88" i="1"/>
  <c r="AI24" i="1"/>
  <c r="G79" i="17"/>
  <c r="E84" i="17"/>
  <c r="AK79" i="1"/>
  <c r="AL84" i="1"/>
  <c r="AJ117" i="1"/>
  <c r="AI117" i="1"/>
  <c r="I49" i="17"/>
  <c r="D84" i="17"/>
  <c r="K69" i="17"/>
  <c r="AJ84" i="1"/>
  <c r="AK24" i="1"/>
  <c r="AL117" i="1"/>
  <c r="K49" i="17"/>
  <c r="G117" i="17"/>
  <c r="AI55" i="1"/>
  <c r="AK94" i="1"/>
  <c r="AK113" i="1"/>
  <c r="AJ115" i="1"/>
  <c r="AJ114" i="1"/>
  <c r="AK151" i="1"/>
  <c r="AL64" i="1"/>
  <c r="E116" i="17"/>
  <c r="G88" i="17"/>
  <c r="AK67" i="1"/>
  <c r="E94" i="17"/>
  <c r="G169" i="17"/>
  <c r="E67" i="17"/>
  <c r="E66" i="17"/>
  <c r="K101" i="17"/>
  <c r="AL66" i="1"/>
  <c r="AL143" i="1"/>
  <c r="AI67" i="1"/>
  <c r="AJ44" i="1"/>
  <c r="AL55" i="1"/>
  <c r="D55" i="17"/>
  <c r="AJ94" i="1"/>
  <c r="AI113" i="1"/>
  <c r="AK115" i="1"/>
  <c r="AL114" i="1"/>
  <c r="E112" i="17"/>
  <c r="AI26" i="1"/>
  <c r="AJ26" i="1"/>
  <c r="AJ151" i="1"/>
  <c r="AL37" i="1"/>
  <c r="AK26" i="1"/>
  <c r="AL92" i="1"/>
  <c r="AI92" i="1"/>
  <c r="AJ92" i="1"/>
  <c r="AK92" i="1"/>
  <c r="I101" i="17"/>
  <c r="AI112" i="1"/>
  <c r="E27" i="17"/>
  <c r="E64" i="17"/>
  <c r="I52" i="17"/>
  <c r="AJ66" i="1"/>
  <c r="AL67" i="1"/>
  <c r="AJ55" i="1"/>
  <c r="AI94" i="1"/>
  <c r="AJ113" i="1"/>
  <c r="AI115" i="1"/>
  <c r="D114" i="17"/>
  <c r="AK114" i="1"/>
  <c r="AI37" i="1"/>
  <c r="AL88" i="1"/>
  <c r="AK37" i="1"/>
  <c r="D151" i="17"/>
  <c r="D113" i="17"/>
  <c r="G116" i="17"/>
  <c r="G55" i="17"/>
  <c r="D94" i="17"/>
  <c r="D169" i="17"/>
  <c r="D67" i="17"/>
  <c r="K106" i="17"/>
  <c r="AJ143" i="1"/>
  <c r="D88" i="17"/>
  <c r="AL94" i="1"/>
  <c r="AL113" i="1"/>
  <c r="E114" i="17"/>
  <c r="AL115" i="1"/>
  <c r="AI88" i="1"/>
  <c r="D115" i="17"/>
  <c r="AJ88" i="1"/>
  <c r="G114" i="17"/>
  <c r="AJ43" i="1"/>
  <c r="D86" i="17"/>
  <c r="AK71" i="1"/>
  <c r="AJ71" i="1"/>
  <c r="AI71" i="1"/>
  <c r="AL71" i="1"/>
  <c r="AL140" i="1"/>
  <c r="AK95" i="1"/>
  <c r="AL95" i="1"/>
  <c r="AI95" i="1"/>
  <c r="AJ95" i="1"/>
  <c r="E87" i="17"/>
  <c r="E45" i="17"/>
  <c r="AJ56" i="1"/>
  <c r="AI64" i="1"/>
  <c r="AI45" i="1"/>
  <c r="AK169" i="1"/>
  <c r="AI44" i="1"/>
  <c r="AK43" i="1"/>
  <c r="AL24" i="1"/>
  <c r="D112" i="17"/>
  <c r="AK63" i="1"/>
  <c r="AJ63" i="1"/>
  <c r="AI63" i="1"/>
  <c r="AL63" i="1"/>
  <c r="D102" i="17"/>
  <c r="AL87" i="1"/>
  <c r="AI87" i="1"/>
  <c r="AJ87" i="1"/>
  <c r="AK87" i="1"/>
  <c r="K50" i="17"/>
  <c r="D63" i="17"/>
  <c r="K104" i="17"/>
  <c r="E40" i="17"/>
  <c r="E24" i="17"/>
  <c r="G44" i="17"/>
  <c r="G93" i="17"/>
  <c r="E93" i="17"/>
  <c r="D64" i="17"/>
  <c r="I75" i="17"/>
  <c r="K173" i="17"/>
  <c r="AI56" i="1"/>
  <c r="AK64" i="1"/>
  <c r="AL45" i="1"/>
  <c r="AJ169" i="1"/>
  <c r="AK44" i="1"/>
  <c r="AI43" i="1"/>
  <c r="I104" i="17"/>
  <c r="AK112" i="1"/>
  <c r="G112" i="17"/>
  <c r="AK51" i="1"/>
  <c r="AJ51" i="1"/>
  <c r="AI51" i="1"/>
  <c r="AL51" i="1"/>
  <c r="AL112" i="1"/>
  <c r="AJ93" i="1"/>
  <c r="AI93" i="1"/>
  <c r="AK93" i="1"/>
  <c r="AL93" i="1"/>
  <c r="AI25" i="1"/>
  <c r="AL25" i="1"/>
  <c r="AK25" i="1"/>
  <c r="AJ25" i="1"/>
  <c r="G95" i="17"/>
  <c r="G51" i="17"/>
  <c r="G45" i="17"/>
  <c r="D95" i="17"/>
  <c r="D93" i="17"/>
  <c r="E95" i="17"/>
  <c r="D44" i="17"/>
  <c r="K75" i="17"/>
  <c r="I50" i="17"/>
  <c r="AJ45" i="1"/>
  <c r="D71" i="17"/>
  <c r="AL44" i="1"/>
  <c r="D45" i="17"/>
  <c r="AL43" i="1"/>
  <c r="AJ112" i="1"/>
  <c r="AJ36" i="1"/>
  <c r="AL36" i="1"/>
  <c r="AK36" i="1"/>
  <c r="AI36" i="1"/>
  <c r="D78" i="17"/>
  <c r="K57" i="17"/>
  <c r="K90" i="17"/>
  <c r="K54" i="17"/>
  <c r="I80" i="17"/>
  <c r="I111" i="17"/>
  <c r="I172" i="17"/>
  <c r="I46" i="17"/>
  <c r="AI140" i="1"/>
  <c r="AI78" i="1"/>
  <c r="AI39" i="1"/>
  <c r="AK98" i="1"/>
  <c r="AJ139" i="1"/>
  <c r="E102" i="17"/>
  <c r="D147" i="17"/>
  <c r="AJ108" i="1"/>
  <c r="AK108" i="1"/>
  <c r="AL108" i="1"/>
  <c r="AI108" i="1"/>
  <c r="D108" i="17"/>
  <c r="AJ58" i="1"/>
  <c r="AK58" i="1"/>
  <c r="AI58" i="1"/>
  <c r="AL58" i="1"/>
  <c r="D98" i="17"/>
  <c r="I97" i="17"/>
  <c r="I103" i="17"/>
  <c r="K80" i="17"/>
  <c r="K111" i="17"/>
  <c r="K172" i="17"/>
  <c r="AK140" i="1"/>
  <c r="AK78" i="1"/>
  <c r="AL39" i="1"/>
  <c r="AJ98" i="1"/>
  <c r="AI139" i="1"/>
  <c r="E98" i="17"/>
  <c r="M104" i="17"/>
  <c r="AJ22" i="1"/>
  <c r="AL22" i="1"/>
  <c r="AI68" i="1"/>
  <c r="AJ68" i="1"/>
  <c r="AL68" i="1"/>
  <c r="AK68" i="1"/>
  <c r="AJ116" i="1"/>
  <c r="AL116" i="1"/>
  <c r="AI116" i="1"/>
  <c r="AK116" i="1"/>
  <c r="D116" i="17"/>
  <c r="AK102" i="1"/>
  <c r="AJ102" i="1"/>
  <c r="AL102" i="1"/>
  <c r="AI102" i="1"/>
  <c r="E68" i="17"/>
  <c r="D140" i="17"/>
  <c r="K97" i="17"/>
  <c r="K103" i="17"/>
  <c r="I168" i="17"/>
  <c r="I109" i="17"/>
  <c r="I70" i="17"/>
  <c r="I61" i="17"/>
  <c r="D58" i="17"/>
  <c r="AJ140" i="1"/>
  <c r="AL78" i="1"/>
  <c r="AJ39" i="1"/>
  <c r="AI98" i="1"/>
  <c r="AL139" i="1"/>
  <c r="AK86" i="1"/>
  <c r="AI86" i="1"/>
  <c r="AJ86" i="1"/>
  <c r="AL86" i="1"/>
  <c r="AI47" i="1"/>
  <c r="AK47" i="1"/>
  <c r="AJ47" i="1"/>
  <c r="AL47" i="1"/>
  <c r="AJ110" i="1"/>
  <c r="AK110" i="1"/>
  <c r="AL110" i="1"/>
  <c r="AI110" i="1"/>
  <c r="D110" i="17"/>
  <c r="D139" i="17"/>
  <c r="D68" i="17"/>
  <c r="I57" i="17"/>
  <c r="I90" i="17"/>
  <c r="I54" i="17"/>
  <c r="K168" i="17"/>
  <c r="K109" i="17"/>
  <c r="K70" i="17"/>
  <c r="K61" i="17"/>
  <c r="K46" i="17"/>
  <c r="I69" i="17"/>
  <c r="E58" i="17"/>
  <c r="AL130" i="1"/>
  <c r="AI130" i="1"/>
  <c r="AJ130" i="1"/>
  <c r="AK130" i="1"/>
  <c r="D57" i="17"/>
  <c r="AI131" i="1"/>
  <c r="AJ131" i="1"/>
  <c r="AK131" i="1"/>
  <c r="AL131" i="1"/>
  <c r="D24" i="17"/>
  <c r="AJ82" i="1"/>
  <c r="AL82" i="1"/>
  <c r="AK82" i="1"/>
  <c r="AI82" i="1"/>
  <c r="AJ134" i="1"/>
  <c r="AK134" i="1"/>
  <c r="AI134" i="1"/>
  <c r="AL134" i="1"/>
  <c r="AJ138" i="1"/>
  <c r="AK138" i="1"/>
  <c r="AI138" i="1"/>
  <c r="AL138" i="1"/>
  <c r="D36" i="17"/>
  <c r="AJ35" i="1"/>
  <c r="AL35" i="1"/>
  <c r="AI35" i="1"/>
  <c r="AK35" i="1"/>
  <c r="AJ137" i="1"/>
  <c r="AK137" i="1"/>
  <c r="AL137" i="1"/>
  <c r="AI137" i="1"/>
  <c r="D34" i="17"/>
  <c r="AJ33" i="1"/>
  <c r="AL33" i="1"/>
  <c r="AI33" i="1"/>
  <c r="AK33" i="1"/>
  <c r="D19" i="17"/>
  <c r="AJ72" i="1"/>
  <c r="AL72" i="1"/>
  <c r="AK72" i="1"/>
  <c r="AI72" i="1"/>
  <c r="AJ132" i="1"/>
  <c r="AK132" i="1"/>
  <c r="AI132" i="1"/>
  <c r="AL132" i="1"/>
  <c r="D25" i="17"/>
  <c r="AJ83" i="1"/>
  <c r="AL83" i="1"/>
  <c r="AI83" i="1"/>
  <c r="AK83" i="1"/>
  <c r="AL30" i="1"/>
  <c r="D42" i="17"/>
  <c r="AL96" i="1"/>
  <c r="AI96" i="1"/>
  <c r="AJ96" i="1"/>
  <c r="AK96" i="1"/>
  <c r="AJ34" i="1"/>
  <c r="AL34" i="1"/>
  <c r="AK34" i="1"/>
  <c r="AI34" i="1"/>
  <c r="AJ29" i="1"/>
  <c r="AL29" i="1"/>
  <c r="AI29" i="1"/>
  <c r="AK29" i="1"/>
  <c r="D32" i="17"/>
  <c r="AJ31" i="1"/>
  <c r="AL31" i="1"/>
  <c r="AI31" i="1"/>
  <c r="AK31" i="1"/>
  <c r="AJ32" i="1"/>
  <c r="AL32" i="1"/>
  <c r="AK32" i="1"/>
  <c r="AI32" i="1"/>
  <c r="AJ73" i="1"/>
  <c r="AL73" i="1"/>
  <c r="AI73" i="1"/>
  <c r="AK73" i="1"/>
  <c r="AK159" i="1"/>
  <c r="AK160" i="1"/>
  <c r="AJ136" i="1"/>
  <c r="AK136" i="1"/>
  <c r="AI136" i="1"/>
  <c r="AL136" i="1"/>
  <c r="AK3" i="1"/>
  <c r="AJ3" i="1"/>
  <c r="AJ81" i="1"/>
  <c r="AL81" i="1"/>
  <c r="AI81" i="1"/>
  <c r="AK81" i="1"/>
  <c r="D74" i="17"/>
  <c r="AJ77" i="1"/>
  <c r="AL77" i="1"/>
  <c r="AI77" i="1"/>
  <c r="AK77" i="1"/>
  <c r="AJ133" i="1"/>
  <c r="AK133" i="1"/>
  <c r="AL133" i="1"/>
  <c r="AI133" i="1"/>
  <c r="D27" i="17"/>
  <c r="AJ74" i="1"/>
  <c r="AL74" i="1"/>
  <c r="AK74" i="1"/>
  <c r="AI74" i="1"/>
  <c r="D41" i="17"/>
  <c r="AK21" i="1"/>
  <c r="AJ135" i="1"/>
  <c r="AK135" i="1"/>
  <c r="AL135" i="1"/>
  <c r="AI135" i="1"/>
  <c r="D40" i="17"/>
  <c r="AJ20" i="1"/>
  <c r="AL20" i="1"/>
  <c r="AK20" i="1"/>
  <c r="AI20" i="1"/>
  <c r="D35" i="17"/>
  <c r="AF170" i="1"/>
  <c r="AF175" i="1"/>
  <c r="AF17" i="1"/>
  <c r="AF4" i="1"/>
  <c r="AF142" i="1"/>
  <c r="AF163" i="1"/>
  <c r="AF65" i="1"/>
  <c r="AF166" i="1"/>
  <c r="D29" i="17"/>
  <c r="E20" i="17"/>
  <c r="E32" i="17"/>
  <c r="AF40" i="1"/>
  <c r="AF42" i="1"/>
  <c r="AF174" i="1"/>
  <c r="AF140" i="1"/>
  <c r="D33" i="17"/>
  <c r="D20" i="17"/>
  <c r="AB159" i="1"/>
  <c r="AD159" i="1"/>
  <c r="AB29" i="1"/>
  <c r="AD29" i="1"/>
  <c r="AF79" i="1"/>
  <c r="AF43" i="1"/>
  <c r="AF15" i="1"/>
  <c r="AF23" i="1"/>
  <c r="AF97" i="1"/>
  <c r="M118" i="17" s="1"/>
  <c r="AF16" i="1"/>
  <c r="AF145" i="1"/>
  <c r="AF46" i="1"/>
  <c r="M106" i="17" s="1"/>
  <c r="AF18" i="1"/>
  <c r="AF167" i="1"/>
  <c r="AF141" i="1"/>
  <c r="AF45" i="1"/>
  <c r="M105" i="17" s="1"/>
  <c r="AF139" i="1"/>
  <c r="AF143" i="1"/>
  <c r="AF66" i="1"/>
  <c r="E33" i="17"/>
  <c r="E35" i="17"/>
  <c r="E29" i="17"/>
  <c r="AF173" i="1"/>
  <c r="AF39" i="1"/>
  <c r="AF44" i="1"/>
  <c r="AF57" i="1"/>
  <c r="AF164" i="1"/>
  <c r="M107" i="17" s="1"/>
  <c r="AF176" i="1"/>
  <c r="AF99" i="1"/>
  <c r="AF165" i="1"/>
  <c r="AF98" i="1"/>
  <c r="AF172" i="1"/>
  <c r="AF19" i="1"/>
  <c r="AF162" i="1"/>
  <c r="AF64" i="1"/>
  <c r="AD73" i="1"/>
  <c r="AB73" i="1"/>
  <c r="G81" i="17"/>
  <c r="AD81" i="1"/>
  <c r="AB81" i="1"/>
  <c r="AF55" i="1"/>
  <c r="AF14" i="1"/>
  <c r="AF78" i="1"/>
  <c r="AF171" i="1"/>
  <c r="M85" i="17" s="1"/>
  <c r="AF76" i="1"/>
  <c r="AF169" i="1"/>
  <c r="AF75" i="1"/>
  <c r="M59" i="17" s="1"/>
  <c r="AF84" i="1"/>
  <c r="AF168" i="1"/>
  <c r="AF144" i="1"/>
  <c r="AF146" i="1"/>
  <c r="AF56" i="1"/>
  <c r="AD161" i="1"/>
  <c r="K95" i="17" s="1"/>
  <c r="AB161" i="1"/>
  <c r="I95" i="17" s="1"/>
  <c r="AB21" i="1"/>
  <c r="I67" i="17" s="1"/>
  <c r="AD21" i="1"/>
  <c r="K67" i="17" s="1"/>
  <c r="AD34" i="1"/>
  <c r="K113" i="17" s="1"/>
  <c r="AB34" i="1"/>
  <c r="AD82" i="1"/>
  <c r="AB82" i="1"/>
  <c r="G72" i="17"/>
  <c r="AD72" i="1"/>
  <c r="AB72" i="1"/>
  <c r="AD83" i="1"/>
  <c r="AB83" i="1"/>
  <c r="I83" i="17" s="1"/>
  <c r="AD135" i="1"/>
  <c r="AB135" i="1"/>
  <c r="AD138" i="1"/>
  <c r="AB138" i="1"/>
  <c r="AD136" i="1"/>
  <c r="K136" i="17" s="1"/>
  <c r="AB136" i="1"/>
  <c r="I136" i="17" s="1"/>
  <c r="AD134" i="1"/>
  <c r="K134" i="17" s="1"/>
  <c r="AB134" i="1"/>
  <c r="I134" i="17" s="1"/>
  <c r="AD132" i="1"/>
  <c r="K169" i="17" s="1"/>
  <c r="AB132" i="1"/>
  <c r="I169" i="17" s="1"/>
  <c r="AD32" i="1"/>
  <c r="AB32" i="1"/>
  <c r="I64" i="17" s="1"/>
  <c r="AD30" i="1"/>
  <c r="K94" i="17" s="1"/>
  <c r="AB30" i="1"/>
  <c r="I94" i="17" s="1"/>
  <c r="G77" i="17"/>
  <c r="AD77" i="1"/>
  <c r="AB77" i="1"/>
  <c r="AD74" i="1"/>
  <c r="K79" i="17" s="1"/>
  <c r="AB74" i="1"/>
  <c r="I79" i="17" s="1"/>
  <c r="G96" i="17"/>
  <c r="AD96" i="1"/>
  <c r="K87" i="17" s="1"/>
  <c r="AB96" i="1"/>
  <c r="I87" i="17" s="1"/>
  <c r="AD35" i="1"/>
  <c r="K114" i="17" s="1"/>
  <c r="AB35" i="1"/>
  <c r="I114" i="17" s="1"/>
  <c r="AD160" i="1"/>
  <c r="K45" i="17" s="1"/>
  <c r="AB160" i="1"/>
  <c r="I45" i="17" s="1"/>
  <c r="AD130" i="1"/>
  <c r="K15" i="17" s="1"/>
  <c r="AB130" i="1"/>
  <c r="I15" i="17" s="1"/>
  <c r="AB31" i="1"/>
  <c r="I92" i="17" s="1"/>
  <c r="AD31" i="1"/>
  <c r="K92" i="17" s="1"/>
  <c r="AD133" i="1"/>
  <c r="AB133" i="1"/>
  <c r="AD131" i="1"/>
  <c r="K131" i="17" s="1"/>
  <c r="AB131" i="1"/>
  <c r="I131" i="17" s="1"/>
  <c r="AD20" i="1"/>
  <c r="K40" i="17" s="1"/>
  <c r="AB20" i="1"/>
  <c r="I55" i="17" s="1"/>
  <c r="AD137" i="1"/>
  <c r="K38" i="17" s="1"/>
  <c r="AB137" i="1"/>
  <c r="I38" i="17" s="1"/>
  <c r="AB33" i="1"/>
  <c r="AD33" i="1"/>
  <c r="K34" i="17" s="1"/>
  <c r="D15" i="17"/>
  <c r="D130" i="17"/>
  <c r="D16" i="17"/>
  <c r="D131" i="17"/>
  <c r="D28" i="17"/>
  <c r="D134" i="17"/>
  <c r="D39" i="17"/>
  <c r="D138" i="17"/>
  <c r="G130" i="17"/>
  <c r="E72" i="17"/>
  <c r="D18" i="17"/>
  <c r="D17" i="17"/>
  <c r="D132" i="17"/>
  <c r="E160" i="17"/>
  <c r="E15" i="17"/>
  <c r="E130" i="17"/>
  <c r="E74" i="17"/>
  <c r="G73" i="17"/>
  <c r="G83" i="17"/>
  <c r="G82" i="17"/>
  <c r="D73" i="17"/>
  <c r="E77" i="17"/>
  <c r="D96" i="17"/>
  <c r="D81" i="17"/>
  <c r="D26" i="17"/>
  <c r="D159" i="17"/>
  <c r="D30" i="17"/>
  <c r="D160" i="17"/>
  <c r="D43" i="17"/>
  <c r="D37" i="17"/>
  <c r="D136" i="17"/>
  <c r="G133" i="17"/>
  <c r="G131" i="17"/>
  <c r="G137" i="17"/>
  <c r="G135" i="17"/>
  <c r="G138" i="17"/>
  <c r="G136" i="17"/>
  <c r="G134" i="17"/>
  <c r="G132" i="17"/>
  <c r="D38" i="17"/>
  <c r="D137" i="17"/>
  <c r="D72" i="17"/>
  <c r="E96" i="17"/>
  <c r="D56" i="17"/>
  <c r="D133" i="17"/>
  <c r="D31" i="17"/>
  <c r="D135" i="17"/>
  <c r="E133" i="17"/>
  <c r="E16" i="17"/>
  <c r="E131" i="17"/>
  <c r="E38" i="17"/>
  <c r="E137" i="17"/>
  <c r="E26" i="17"/>
  <c r="E56" i="17"/>
  <c r="E3" i="17"/>
  <c r="E31" i="17"/>
  <c r="E135" i="17"/>
  <c r="E39" i="17"/>
  <c r="E138" i="17"/>
  <c r="E37" i="17"/>
  <c r="E136" i="17"/>
  <c r="E28" i="17"/>
  <c r="E134" i="17"/>
  <c r="E17" i="17"/>
  <c r="E132" i="17"/>
  <c r="E22" i="17"/>
  <c r="E82" i="17"/>
  <c r="D83" i="17"/>
  <c r="D82" i="17"/>
  <c r="D77" i="17"/>
  <c r="E73" i="17"/>
  <c r="E83" i="17"/>
  <c r="G16" i="17"/>
  <c r="G40" i="17"/>
  <c r="G38" i="17"/>
  <c r="G26" i="17"/>
  <c r="G21" i="17"/>
  <c r="G34" i="17"/>
  <c r="G56" i="17"/>
  <c r="G25" i="17"/>
  <c r="G31" i="17"/>
  <c r="G39" i="17"/>
  <c r="G37" i="17"/>
  <c r="G28" i="17"/>
  <c r="G17" i="17"/>
  <c r="G22" i="17"/>
  <c r="G27" i="17"/>
  <c r="G20" i="17"/>
  <c r="G42" i="17"/>
  <c r="G36" i="17"/>
  <c r="G15" i="17"/>
  <c r="G32" i="17"/>
  <c r="G57" i="17"/>
  <c r="G33" i="17"/>
  <c r="G41" i="17"/>
  <c r="G35" i="17"/>
  <c r="G29" i="17"/>
  <c r="G24" i="17"/>
  <c r="G19" i="17"/>
  <c r="G74" i="17"/>
  <c r="V119" i="1"/>
  <c r="E147" i="17" s="1"/>
  <c r="Z119" i="1"/>
  <c r="G147" i="17" s="1"/>
  <c r="V120" i="1"/>
  <c r="Z120" i="1"/>
  <c r="G164" i="17" s="1"/>
  <c r="V129" i="1"/>
  <c r="Z129" i="1"/>
  <c r="G53" i="17" s="1"/>
  <c r="V127" i="1"/>
  <c r="E145" i="17" s="1"/>
  <c r="Z127" i="1"/>
  <c r="G145" i="17" s="1"/>
  <c r="V125" i="1"/>
  <c r="E152" i="17" s="1"/>
  <c r="Z125" i="1"/>
  <c r="G152" i="17" s="1"/>
  <c r="V123" i="1"/>
  <c r="Z123" i="1"/>
  <c r="G160" i="17" s="1"/>
  <c r="V121" i="1"/>
  <c r="E148" i="17" s="1"/>
  <c r="Z121" i="1"/>
  <c r="G148" i="17" s="1"/>
  <c r="V158" i="1"/>
  <c r="E139" i="17" s="1"/>
  <c r="Z158" i="1"/>
  <c r="G139" i="17" s="1"/>
  <c r="V128" i="1"/>
  <c r="E154" i="17" s="1"/>
  <c r="Z128" i="1"/>
  <c r="G154" i="17" s="1"/>
  <c r="V126" i="1"/>
  <c r="E151" i="17" s="1"/>
  <c r="Z126" i="1"/>
  <c r="G62" i="17" s="1"/>
  <c r="V124" i="1"/>
  <c r="E142" i="17" s="1"/>
  <c r="Z124" i="1"/>
  <c r="G142" i="17" s="1"/>
  <c r="V122" i="1"/>
  <c r="Z122" i="1"/>
  <c r="R122" i="1"/>
  <c r="AJ7" i="1" s="1"/>
  <c r="R124" i="1"/>
  <c r="AI144" i="1" s="1"/>
  <c r="R123" i="1"/>
  <c r="AI160" i="1" s="1"/>
  <c r="R129" i="1"/>
  <c r="R125" i="1"/>
  <c r="R121" i="1"/>
  <c r="AI148" i="1" s="1"/>
  <c r="R127" i="1"/>
  <c r="R126" i="1"/>
  <c r="R128" i="1"/>
  <c r="AJ154" i="1" s="1"/>
  <c r="R120" i="1"/>
  <c r="AI178" i="1" s="1"/>
  <c r="R119" i="1"/>
  <c r="AI147" i="1" s="1"/>
  <c r="AI4" i="1" l="1"/>
  <c r="I42" i="17"/>
  <c r="I41" i="17"/>
  <c r="K42" i="17"/>
  <c r="AK8" i="1"/>
  <c r="AI7" i="1"/>
  <c r="AJ6" i="1"/>
  <c r="AI5" i="1"/>
  <c r="K17" i="17"/>
  <c r="M48" i="17"/>
  <c r="AK4" i="1"/>
  <c r="AL7" i="1"/>
  <c r="K41" i="17"/>
  <c r="AI6" i="1"/>
  <c r="AL161" i="1"/>
  <c r="AJ14" i="1"/>
  <c r="AL14" i="1"/>
  <c r="AK14" i="1"/>
  <c r="AI14" i="1"/>
  <c r="M65" i="17"/>
  <c r="I40" i="17"/>
  <c r="M60" i="17"/>
  <c r="K28" i="17"/>
  <c r="AL4" i="1"/>
  <c r="AK7" i="1"/>
  <c r="K16" i="17"/>
  <c r="I16" i="17"/>
  <c r="AL5" i="1"/>
  <c r="AK6" i="1"/>
  <c r="I19" i="17"/>
  <c r="D155" i="17"/>
  <c r="AK11" i="1"/>
  <c r="AJ11" i="1"/>
  <c r="AL11" i="1"/>
  <c r="AI11" i="1"/>
  <c r="AL159" i="1"/>
  <c r="AJ12" i="1"/>
  <c r="AL12" i="1"/>
  <c r="AK12" i="1"/>
  <c r="AI12" i="1"/>
  <c r="AL152" i="1"/>
  <c r="AL10" i="1"/>
  <c r="AK10" i="1"/>
  <c r="AI10" i="1"/>
  <c r="AJ10" i="1"/>
  <c r="I39" i="17"/>
  <c r="K19" i="17"/>
  <c r="I28" i="17"/>
  <c r="I17" i="17"/>
  <c r="AJ4" i="1"/>
  <c r="AI8" i="1"/>
  <c r="AJ5" i="1"/>
  <c r="AL6" i="1"/>
  <c r="AK5" i="1"/>
  <c r="AK152" i="1"/>
  <c r="M100" i="17"/>
  <c r="AK147" i="1"/>
  <c r="AL148" i="1"/>
  <c r="AJ152" i="1"/>
  <c r="G151" i="17"/>
  <c r="AL144" i="1"/>
  <c r="AJ144" i="1"/>
  <c r="AI143" i="1"/>
  <c r="AJ148" i="1"/>
  <c r="D144" i="17"/>
  <c r="G143" i="17"/>
  <c r="K83" i="17"/>
  <c r="AJ147" i="1"/>
  <c r="D148" i="17"/>
  <c r="D152" i="17"/>
  <c r="AK144" i="1"/>
  <c r="E53" i="17"/>
  <c r="E143" i="17"/>
  <c r="M75" i="17"/>
  <c r="AL147" i="1"/>
  <c r="AK148" i="1"/>
  <c r="AL151" i="1"/>
  <c r="AK143" i="1"/>
  <c r="AI152" i="1"/>
  <c r="AI151" i="1"/>
  <c r="G144" i="17"/>
  <c r="D143" i="17"/>
  <c r="E144" i="17"/>
  <c r="AI165" i="1"/>
  <c r="AJ165" i="1"/>
  <c r="E153" i="17"/>
  <c r="E163" i="17"/>
  <c r="E62" i="17"/>
  <c r="E165" i="17"/>
  <c r="E164" i="17"/>
  <c r="M99" i="17"/>
  <c r="M49" i="17"/>
  <c r="M50" i="17"/>
  <c r="M91" i="17"/>
  <c r="AJ160" i="1"/>
  <c r="AJ159" i="1"/>
  <c r="I27" i="17"/>
  <c r="K27" i="17"/>
  <c r="G153" i="17"/>
  <c r="G163" i="17"/>
  <c r="AL160" i="1"/>
  <c r="AI159" i="1"/>
  <c r="E140" i="17"/>
  <c r="AK165" i="1"/>
  <c r="AL165" i="1"/>
  <c r="D165" i="17"/>
  <c r="AK153" i="1"/>
  <c r="AL163" i="1"/>
  <c r="AK163" i="1"/>
  <c r="AI163" i="1"/>
  <c r="D163" i="17"/>
  <c r="AJ163" i="1"/>
  <c r="E159" i="17"/>
  <c r="G159" i="17"/>
  <c r="M52" i="17"/>
  <c r="M89" i="17"/>
  <c r="G165" i="17"/>
  <c r="G140" i="17"/>
  <c r="AK142" i="1"/>
  <c r="AI142" i="1"/>
  <c r="D142" i="17"/>
  <c r="AL142" i="1"/>
  <c r="AJ142" i="1"/>
  <c r="G157" i="17"/>
  <c r="G150" i="17"/>
  <c r="G156" i="17"/>
  <c r="G149" i="17"/>
  <c r="I88" i="17"/>
  <c r="AK155" i="1"/>
  <c r="AI155" i="1"/>
  <c r="AL153" i="1"/>
  <c r="D153" i="17"/>
  <c r="D154" i="17"/>
  <c r="AI153" i="1"/>
  <c r="AI141" i="1"/>
  <c r="E157" i="17"/>
  <c r="E150" i="17"/>
  <c r="E156" i="17"/>
  <c r="E149" i="17"/>
  <c r="K117" i="17"/>
  <c r="AK141" i="1"/>
  <c r="AJ155" i="1"/>
  <c r="AJ153" i="1"/>
  <c r="AI154" i="1"/>
  <c r="G141" i="17"/>
  <c r="AK22" i="1"/>
  <c r="AK150" i="1"/>
  <c r="AI150" i="1"/>
  <c r="AL150" i="1"/>
  <c r="AJ150" i="1"/>
  <c r="D150" i="17"/>
  <c r="I82" i="17"/>
  <c r="K84" i="17"/>
  <c r="I117" i="17"/>
  <c r="AL141" i="1"/>
  <c r="AL155" i="1"/>
  <c r="AL154" i="1"/>
  <c r="AK154" i="1"/>
  <c r="AJ21" i="1"/>
  <c r="AK149" i="1"/>
  <c r="AJ149" i="1"/>
  <c r="AI149" i="1"/>
  <c r="D149" i="17"/>
  <c r="AL149" i="1"/>
  <c r="AK145" i="1"/>
  <c r="AL145" i="1"/>
  <c r="D145" i="17"/>
  <c r="AI145" i="1"/>
  <c r="AJ145" i="1"/>
  <c r="K82" i="17"/>
  <c r="AJ141" i="1"/>
  <c r="I84" i="17"/>
  <c r="D141" i="17"/>
  <c r="K144" i="17"/>
  <c r="E141" i="17"/>
  <c r="D23" i="17"/>
  <c r="AK177" i="1"/>
  <c r="AL177" i="1"/>
  <c r="AI177" i="1"/>
  <c r="AJ177" i="1"/>
  <c r="D177" i="17"/>
  <c r="AJ8" i="1"/>
  <c r="AL174" i="1"/>
  <c r="AK174" i="1"/>
  <c r="AI174" i="1"/>
  <c r="D174" i="17"/>
  <c r="AJ174" i="1"/>
  <c r="E76" i="17"/>
  <c r="E162" i="17"/>
  <c r="E176" i="17"/>
  <c r="E175" i="17"/>
  <c r="E23" i="17"/>
  <c r="E177" i="17"/>
  <c r="E161" i="17"/>
  <c r="G161" i="17"/>
  <c r="I74" i="17"/>
  <c r="K93" i="17"/>
  <c r="K37" i="17"/>
  <c r="AK161" i="1"/>
  <c r="I115" i="17"/>
  <c r="AK178" i="1"/>
  <c r="K66" i="17"/>
  <c r="I66" i="17"/>
  <c r="G178" i="17"/>
  <c r="AI3" i="1"/>
  <c r="AI175" i="1"/>
  <c r="AK175" i="1"/>
  <c r="D175" i="17"/>
  <c r="AJ175" i="1"/>
  <c r="AL175" i="1"/>
  <c r="G170" i="17"/>
  <c r="G174" i="17"/>
  <c r="G171" i="17"/>
  <c r="G167" i="17"/>
  <c r="G146" i="17"/>
  <c r="G166" i="17"/>
  <c r="K74" i="17"/>
  <c r="I112" i="17"/>
  <c r="K44" i="17"/>
  <c r="K88" i="17"/>
  <c r="AJ161" i="1"/>
  <c r="K55" i="17"/>
  <c r="E178" i="17"/>
  <c r="D178" i="17"/>
  <c r="I143" i="17"/>
  <c r="AJ167" i="1"/>
  <c r="D167" i="17"/>
  <c r="AK167" i="1"/>
  <c r="AL167" i="1"/>
  <c r="AI167" i="1"/>
  <c r="E170" i="17"/>
  <c r="E174" i="17"/>
  <c r="E171" i="17"/>
  <c r="E167" i="17"/>
  <c r="E146" i="17"/>
  <c r="E166" i="17"/>
  <c r="D161" i="17"/>
  <c r="K112" i="17"/>
  <c r="AI161" i="1"/>
  <c r="AJ178" i="1"/>
  <c r="G155" i="17"/>
  <c r="AK30" i="1"/>
  <c r="AK166" i="1"/>
  <c r="AI166" i="1"/>
  <c r="AL166" i="1"/>
  <c r="D166" i="17"/>
  <c r="AJ166" i="1"/>
  <c r="AJ162" i="1"/>
  <c r="D162" i="17"/>
  <c r="AK162" i="1"/>
  <c r="AI162" i="1"/>
  <c r="AL162" i="1"/>
  <c r="G76" i="17"/>
  <c r="G162" i="17"/>
  <c r="G176" i="17"/>
  <c r="G175" i="17"/>
  <c r="G23" i="17"/>
  <c r="G177" i="17"/>
  <c r="I93" i="17"/>
  <c r="I37" i="17"/>
  <c r="K26" i="17"/>
  <c r="I113" i="17"/>
  <c r="I26" i="17"/>
  <c r="AL178" i="1"/>
  <c r="K115" i="17"/>
  <c r="E155" i="17"/>
  <c r="I77" i="17"/>
  <c r="K135" i="17"/>
  <c r="K137" i="17"/>
  <c r="K25" i="17"/>
  <c r="K116" i="17"/>
  <c r="K51" i="17"/>
  <c r="K64" i="17"/>
  <c r="AI9" i="1"/>
  <c r="AL9" i="1"/>
  <c r="AK9" i="1"/>
  <c r="AJ9" i="1"/>
  <c r="E43" i="17"/>
  <c r="AI13" i="1"/>
  <c r="AK13" i="1"/>
  <c r="AL13" i="1"/>
  <c r="AJ13" i="1"/>
  <c r="E21" i="17"/>
  <c r="G3" i="17"/>
  <c r="K86" i="17"/>
  <c r="K71" i="17"/>
  <c r="K81" i="17"/>
  <c r="M173" i="17"/>
  <c r="K24" i="17"/>
  <c r="M101" i="17"/>
  <c r="AL21" i="1"/>
  <c r="AL3" i="1"/>
  <c r="AI30" i="1"/>
  <c r="AI22" i="1"/>
  <c r="AL8" i="1"/>
  <c r="K56" i="17"/>
  <c r="AK62" i="1"/>
  <c r="AI62" i="1"/>
  <c r="AJ62" i="1"/>
  <c r="D62" i="17"/>
  <c r="AL62" i="1"/>
  <c r="K132" i="17"/>
  <c r="K63" i="17"/>
  <c r="E30" i="17"/>
  <c r="I86" i="17"/>
  <c r="I71" i="17"/>
  <c r="I81" i="17"/>
  <c r="I44" i="17"/>
  <c r="AI21" i="1"/>
  <c r="AJ30" i="1"/>
  <c r="AK158" i="1"/>
  <c r="AJ23" i="1"/>
  <c r="AL23" i="1"/>
  <c r="AI23" i="1"/>
  <c r="AK23" i="1"/>
  <c r="G43" i="17"/>
  <c r="G30" i="17"/>
  <c r="D3" i="17"/>
  <c r="D21" i="17"/>
  <c r="I137" i="17"/>
  <c r="I25" i="17"/>
  <c r="I116" i="17"/>
  <c r="I51" i="17"/>
  <c r="I132" i="17"/>
  <c r="I63" i="17"/>
  <c r="K39" i="17"/>
  <c r="I24" i="17"/>
  <c r="D22" i="17"/>
  <c r="I56" i="17"/>
  <c r="AL176" i="1"/>
  <c r="D176" i="17"/>
  <c r="AI176" i="1"/>
  <c r="AJ176" i="1"/>
  <c r="AK176" i="1"/>
  <c r="AL170" i="1"/>
  <c r="AJ170" i="1"/>
  <c r="D170" i="17"/>
  <c r="AK170" i="1"/>
  <c r="AI170" i="1"/>
  <c r="AI53" i="1"/>
  <c r="AJ53" i="1"/>
  <c r="AL53" i="1"/>
  <c r="AK53" i="1"/>
  <c r="D53" i="17"/>
  <c r="D158" i="17"/>
  <c r="I96" i="17"/>
  <c r="I102" i="17"/>
  <c r="I135" i="17"/>
  <c r="I72" i="17"/>
  <c r="I68" i="17"/>
  <c r="M109" i="17"/>
  <c r="AJ158" i="1"/>
  <c r="AI156" i="1"/>
  <c r="AJ156" i="1"/>
  <c r="AK156" i="1"/>
  <c r="AL156" i="1"/>
  <c r="D156" i="17"/>
  <c r="K96" i="17"/>
  <c r="K102" i="17"/>
  <c r="K72" i="17"/>
  <c r="K68" i="17"/>
  <c r="I110" i="17"/>
  <c r="M57" i="17"/>
  <c r="M90" i="17"/>
  <c r="M54" i="17"/>
  <c r="M111" i="17"/>
  <c r="AL158" i="1"/>
  <c r="I78" i="17"/>
  <c r="K98" i="17"/>
  <c r="I98" i="17"/>
  <c r="AJ146" i="1"/>
  <c r="AK146" i="1"/>
  <c r="AI146" i="1"/>
  <c r="AL146" i="1"/>
  <c r="D146" i="17"/>
  <c r="AJ171" i="1"/>
  <c r="AK171" i="1"/>
  <c r="AL171" i="1"/>
  <c r="D171" i="17"/>
  <c r="AI171" i="1"/>
  <c r="AJ164" i="1"/>
  <c r="AK164" i="1"/>
  <c r="AI164" i="1"/>
  <c r="AL164" i="1"/>
  <c r="D164" i="17"/>
  <c r="AJ157" i="1"/>
  <c r="AL157" i="1"/>
  <c r="D157" i="17"/>
  <c r="AK157" i="1"/>
  <c r="AI157" i="1"/>
  <c r="AL76" i="1"/>
  <c r="AK76" i="1"/>
  <c r="AI76" i="1"/>
  <c r="D76" i="17"/>
  <c r="AJ76" i="1"/>
  <c r="I133" i="17"/>
  <c r="I130" i="17"/>
  <c r="I36" i="17"/>
  <c r="I58" i="17"/>
  <c r="K77" i="17"/>
  <c r="I138" i="17"/>
  <c r="I108" i="17"/>
  <c r="K110" i="17"/>
  <c r="M168" i="17"/>
  <c r="I73" i="17"/>
  <c r="I47" i="17"/>
  <c r="M97" i="17"/>
  <c r="M103" i="17"/>
  <c r="K29" i="17"/>
  <c r="AI158" i="1"/>
  <c r="K78" i="17"/>
  <c r="M69" i="17"/>
  <c r="K3" i="17"/>
  <c r="K133" i="17"/>
  <c r="K148" i="17"/>
  <c r="K130" i="17"/>
  <c r="K36" i="17"/>
  <c r="K58" i="17"/>
  <c r="K138" i="17"/>
  <c r="K108" i="17"/>
  <c r="M70" i="17"/>
  <c r="K73" i="17"/>
  <c r="K47" i="17"/>
  <c r="M172" i="17"/>
  <c r="M61" i="17"/>
  <c r="M46" i="17"/>
  <c r="I29" i="17"/>
  <c r="M80" i="17"/>
  <c r="AL128" i="1"/>
  <c r="AI128" i="1"/>
  <c r="AJ128" i="1"/>
  <c r="AK128" i="1"/>
  <c r="AL125" i="1"/>
  <c r="AI125" i="1"/>
  <c r="AJ125" i="1"/>
  <c r="AK125" i="1"/>
  <c r="AL126" i="1"/>
  <c r="AI126" i="1"/>
  <c r="AJ126" i="1"/>
  <c r="AK126" i="1"/>
  <c r="AL129" i="1"/>
  <c r="AI129" i="1"/>
  <c r="AJ129" i="1"/>
  <c r="AK129" i="1"/>
  <c r="AL127" i="1"/>
  <c r="AI127" i="1"/>
  <c r="AJ127" i="1"/>
  <c r="AK127" i="1"/>
  <c r="AL119" i="1"/>
  <c r="AI119" i="1"/>
  <c r="AJ119" i="1"/>
  <c r="AK119" i="1"/>
  <c r="AL123" i="1"/>
  <c r="AI123" i="1"/>
  <c r="AJ123" i="1"/>
  <c r="AK123" i="1"/>
  <c r="AL120" i="1"/>
  <c r="AI120" i="1"/>
  <c r="AJ120" i="1"/>
  <c r="AK120" i="1"/>
  <c r="AL121" i="1"/>
  <c r="AI121" i="1"/>
  <c r="AJ121" i="1"/>
  <c r="AK121" i="1"/>
  <c r="AL124" i="1"/>
  <c r="AI124" i="1"/>
  <c r="AJ124" i="1"/>
  <c r="AK124" i="1"/>
  <c r="AL122" i="1"/>
  <c r="AI122" i="1"/>
  <c r="AK122" i="1"/>
  <c r="AJ122" i="1"/>
  <c r="K32" i="17"/>
  <c r="AF131" i="1"/>
  <c r="M16" i="17" s="1"/>
  <c r="I33" i="17"/>
  <c r="K35" i="17"/>
  <c r="AF72" i="1"/>
  <c r="M19" i="17" s="1"/>
  <c r="I34" i="17"/>
  <c r="AF21" i="1"/>
  <c r="M67" i="17" s="1"/>
  <c r="K33" i="17"/>
  <c r="AF132" i="1"/>
  <c r="M169" i="17" s="1"/>
  <c r="AF135" i="1"/>
  <c r="AF160" i="1"/>
  <c r="AF82" i="1"/>
  <c r="AF32" i="1"/>
  <c r="M71" i="17" s="1"/>
  <c r="AF159" i="1"/>
  <c r="AF133" i="1"/>
  <c r="AF138" i="1"/>
  <c r="AF130" i="1"/>
  <c r="M15" i="17" s="1"/>
  <c r="I31" i="17"/>
  <c r="AF134" i="1"/>
  <c r="M134" i="17" s="1"/>
  <c r="AF83" i="1"/>
  <c r="M66" i="17" s="1"/>
  <c r="AF35" i="1"/>
  <c r="AF73" i="1"/>
  <c r="AF30" i="1"/>
  <c r="M94" i="17" s="1"/>
  <c r="AF161" i="1"/>
  <c r="M95" i="17" s="1"/>
  <c r="AF29" i="1"/>
  <c r="AF137" i="1"/>
  <c r="M38" i="17" s="1"/>
  <c r="I32" i="17"/>
  <c r="K31" i="17"/>
  <c r="K30" i="17"/>
  <c r="I35" i="17"/>
  <c r="AF81" i="1"/>
  <c r="AF136" i="1"/>
  <c r="M136" i="17" s="1"/>
  <c r="AF31" i="1"/>
  <c r="M92" i="17" s="1"/>
  <c r="AF96" i="1"/>
  <c r="M87" i="17" s="1"/>
  <c r="AF74" i="1"/>
  <c r="M79" i="17" s="1"/>
  <c r="I20" i="17"/>
  <c r="AF77" i="1"/>
  <c r="M77" i="17" s="1"/>
  <c r="AF34" i="1"/>
  <c r="AF33" i="1"/>
  <c r="AF20" i="1"/>
  <c r="M40" i="17" s="1"/>
  <c r="K20" i="17"/>
  <c r="AD124" i="1"/>
  <c r="AB124" i="1"/>
  <c r="I144" i="17" s="1"/>
  <c r="AD128" i="1"/>
  <c r="K175" i="17" s="1"/>
  <c r="AB128" i="1"/>
  <c r="I154" i="17" s="1"/>
  <c r="AD121" i="1"/>
  <c r="K6" i="17" s="1"/>
  <c r="AB121" i="1"/>
  <c r="I148" i="17" s="1"/>
  <c r="AD125" i="1"/>
  <c r="AB125" i="1"/>
  <c r="AD129" i="1"/>
  <c r="AB129" i="1"/>
  <c r="AD119" i="1"/>
  <c r="AB119" i="1"/>
  <c r="AD122" i="1"/>
  <c r="K7" i="17" s="1"/>
  <c r="AB122" i="1"/>
  <c r="I7" i="17" s="1"/>
  <c r="AD126" i="1"/>
  <c r="AB126" i="1"/>
  <c r="AD158" i="1"/>
  <c r="AB158" i="1"/>
  <c r="AD123" i="1"/>
  <c r="K160" i="17" s="1"/>
  <c r="AB123" i="1"/>
  <c r="I160" i="17" s="1"/>
  <c r="AD127" i="1"/>
  <c r="AB127" i="1"/>
  <c r="AD120" i="1"/>
  <c r="K13" i="17" s="1"/>
  <c r="AB120" i="1"/>
  <c r="I13" i="17" s="1"/>
  <c r="E6" i="17"/>
  <c r="E121" i="17"/>
  <c r="D5" i="17"/>
  <c r="D120" i="17"/>
  <c r="D6" i="17"/>
  <c r="D121" i="17"/>
  <c r="D9" i="17"/>
  <c r="D124" i="17"/>
  <c r="G124" i="17"/>
  <c r="G128" i="17"/>
  <c r="G121" i="17"/>
  <c r="G125" i="17"/>
  <c r="G129" i="17"/>
  <c r="G119" i="17"/>
  <c r="D13" i="17"/>
  <c r="D128" i="17"/>
  <c r="D7" i="17"/>
  <c r="D122" i="17"/>
  <c r="E13" i="17"/>
  <c r="E128" i="17"/>
  <c r="E14" i="17"/>
  <c r="E129" i="17"/>
  <c r="E4" i="17"/>
  <c r="E119" i="17"/>
  <c r="E10" i="17"/>
  <c r="E125" i="17"/>
  <c r="D11" i="17"/>
  <c r="D126" i="17"/>
  <c r="D14" i="17"/>
  <c r="D129" i="17"/>
  <c r="G122" i="17"/>
  <c r="G126" i="17"/>
  <c r="G158" i="17"/>
  <c r="G123" i="17"/>
  <c r="G127" i="17"/>
  <c r="G120" i="17"/>
  <c r="D10" i="17"/>
  <c r="D125" i="17"/>
  <c r="E9" i="17"/>
  <c r="E124" i="17"/>
  <c r="D4" i="17"/>
  <c r="D119" i="17"/>
  <c r="D12" i="17"/>
  <c r="D127" i="17"/>
  <c r="D8" i="17"/>
  <c r="D123" i="17"/>
  <c r="E7" i="17"/>
  <c r="E122" i="17"/>
  <c r="E11" i="17"/>
  <c r="E126" i="17"/>
  <c r="E18" i="17"/>
  <c r="E158" i="17"/>
  <c r="E8" i="17"/>
  <c r="E123" i="17"/>
  <c r="E12" i="17"/>
  <c r="E127" i="17"/>
  <c r="E5" i="17"/>
  <c r="E120" i="17"/>
  <c r="G9" i="17"/>
  <c r="G13" i="17"/>
  <c r="G6" i="17"/>
  <c r="G10" i="17"/>
  <c r="G14" i="17"/>
  <c r="G4" i="17"/>
  <c r="G7" i="17"/>
  <c r="G11" i="17"/>
  <c r="G18" i="17"/>
  <c r="G8" i="17"/>
  <c r="G12" i="17"/>
  <c r="G5" i="17"/>
  <c r="M39" i="17" l="1"/>
  <c r="I5" i="17"/>
  <c r="K5" i="17"/>
  <c r="K165" i="17"/>
  <c r="K11" i="17"/>
  <c r="K177" i="17"/>
  <c r="K10" i="17"/>
  <c r="K159" i="17"/>
  <c r="K12" i="17"/>
  <c r="K43" i="17"/>
  <c r="K18" i="17"/>
  <c r="K143" i="17"/>
  <c r="K14" i="17"/>
  <c r="M42" i="17"/>
  <c r="K147" i="17"/>
  <c r="K4" i="17"/>
  <c r="I145" i="17"/>
  <c r="I12" i="17"/>
  <c r="I43" i="17"/>
  <c r="I18" i="17"/>
  <c r="I161" i="17"/>
  <c r="I14" i="17"/>
  <c r="I165" i="17"/>
  <c r="I11" i="17"/>
  <c r="I147" i="17"/>
  <c r="I4" i="17"/>
  <c r="I177" i="17"/>
  <c r="I10" i="17"/>
  <c r="M17" i="17"/>
  <c r="M41" i="17"/>
  <c r="I6" i="17"/>
  <c r="K151" i="17"/>
  <c r="I151" i="17"/>
  <c r="M28" i="17"/>
  <c r="K152" i="17"/>
  <c r="I152" i="17"/>
  <c r="I159" i="17"/>
  <c r="K153" i="17"/>
  <c r="K163" i="17"/>
  <c r="K161" i="17"/>
  <c r="I153" i="17"/>
  <c r="I163" i="17"/>
  <c r="M165" i="17"/>
  <c r="I140" i="17"/>
  <c r="K140" i="17"/>
  <c r="M27" i="17"/>
  <c r="K166" i="17"/>
  <c r="K145" i="17"/>
  <c r="K22" i="17"/>
  <c r="K150" i="17"/>
  <c r="K162" i="17"/>
  <c r="K142" i="17"/>
  <c r="M117" i="17"/>
  <c r="I141" i="17"/>
  <c r="I21" i="17"/>
  <c r="I149" i="17"/>
  <c r="M82" i="17"/>
  <c r="K154" i="17"/>
  <c r="K21" i="17"/>
  <c r="K149" i="17"/>
  <c r="M84" i="17"/>
  <c r="I22" i="17"/>
  <c r="I150" i="17"/>
  <c r="I162" i="17"/>
  <c r="I142" i="17"/>
  <c r="K141" i="17"/>
  <c r="I9" i="17"/>
  <c r="I167" i="17"/>
  <c r="I3" i="17"/>
  <c r="I175" i="17"/>
  <c r="M93" i="17"/>
  <c r="M37" i="17"/>
  <c r="M131" i="17"/>
  <c r="M113" i="17"/>
  <c r="K9" i="17"/>
  <c r="K167" i="17"/>
  <c r="M112" i="17"/>
  <c r="M55" i="17"/>
  <c r="M26" i="17"/>
  <c r="I178" i="17"/>
  <c r="I155" i="17"/>
  <c r="I30" i="17"/>
  <c r="I166" i="17"/>
  <c r="I8" i="17"/>
  <c r="I174" i="17"/>
  <c r="M74" i="17"/>
  <c r="M88" i="17"/>
  <c r="M115" i="17"/>
  <c r="K8" i="17"/>
  <c r="K174" i="17"/>
  <c r="M58" i="17"/>
  <c r="M114" i="17"/>
  <c r="K155" i="17"/>
  <c r="K178" i="17"/>
  <c r="M135" i="17"/>
  <c r="I126" i="17"/>
  <c r="I62" i="17"/>
  <c r="K126" i="17"/>
  <c r="K62" i="17"/>
  <c r="K125" i="17"/>
  <c r="K23" i="17"/>
  <c r="M137" i="17"/>
  <c r="M25" i="17"/>
  <c r="M83" i="17"/>
  <c r="M132" i="17"/>
  <c r="M63" i="17"/>
  <c r="M45" i="17"/>
  <c r="M56" i="17"/>
  <c r="M116" i="17"/>
  <c r="M51" i="17"/>
  <c r="M81" i="17"/>
  <c r="M24" i="17"/>
  <c r="I125" i="17"/>
  <c r="I23" i="17"/>
  <c r="M44" i="17"/>
  <c r="M64" i="17"/>
  <c r="K120" i="17"/>
  <c r="K164" i="17"/>
  <c r="I127" i="17"/>
  <c r="I146" i="17"/>
  <c r="I158" i="17"/>
  <c r="I139" i="17"/>
  <c r="I122" i="17"/>
  <c r="I170" i="17"/>
  <c r="I129" i="17"/>
  <c r="I53" i="17"/>
  <c r="I121" i="17"/>
  <c r="I157" i="17"/>
  <c r="I124" i="17"/>
  <c r="I76" i="17"/>
  <c r="M33" i="17"/>
  <c r="M29" i="17"/>
  <c r="M130" i="17"/>
  <c r="M147" i="17"/>
  <c r="M32" i="17"/>
  <c r="M86" i="17"/>
  <c r="M21" i="17"/>
  <c r="M36" i="17"/>
  <c r="K127" i="17"/>
  <c r="K146" i="17"/>
  <c r="K158" i="17"/>
  <c r="K139" i="17"/>
  <c r="K122" i="17"/>
  <c r="K170" i="17"/>
  <c r="K129" i="17"/>
  <c r="K53" i="17"/>
  <c r="K121" i="17"/>
  <c r="K157" i="17"/>
  <c r="K124" i="17"/>
  <c r="K76" i="17"/>
  <c r="M96" i="17"/>
  <c r="M102" i="17"/>
  <c r="M110" i="17"/>
  <c r="M73" i="17"/>
  <c r="M47" i="17"/>
  <c r="M138" i="17"/>
  <c r="M108" i="17"/>
  <c r="I120" i="17"/>
  <c r="I164" i="17"/>
  <c r="I123" i="17"/>
  <c r="I171" i="17"/>
  <c r="I119" i="17"/>
  <c r="I156" i="17"/>
  <c r="I128" i="17"/>
  <c r="I176" i="17"/>
  <c r="M133" i="17"/>
  <c r="M72" i="17"/>
  <c r="M68" i="17"/>
  <c r="M78" i="17"/>
  <c r="M98" i="17"/>
  <c r="K123" i="17"/>
  <c r="K171" i="17"/>
  <c r="K119" i="17"/>
  <c r="K156" i="17"/>
  <c r="K128" i="17"/>
  <c r="K176" i="17"/>
  <c r="M20" i="17"/>
  <c r="AF123" i="1"/>
  <c r="M160" i="17" s="1"/>
  <c r="AF129" i="1"/>
  <c r="AF124" i="1"/>
  <c r="M144" i="17" s="1"/>
  <c r="AF158" i="1"/>
  <c r="M35" i="17"/>
  <c r="M34" i="17"/>
  <c r="AF120" i="1"/>
  <c r="AF126" i="1"/>
  <c r="AF119" i="1"/>
  <c r="M149" i="17" s="1"/>
  <c r="AF125" i="1"/>
  <c r="M31" i="17"/>
  <c r="M30" i="17"/>
  <c r="AF127" i="1"/>
  <c r="AF122" i="1"/>
  <c r="M7" i="17" s="1"/>
  <c r="AF121" i="1"/>
  <c r="M148" i="17" s="1"/>
  <c r="AF128" i="1"/>
  <c r="M154" i="17" s="1"/>
  <c r="M161" i="17" l="1"/>
  <c r="M14" i="17"/>
  <c r="M159" i="17"/>
  <c r="M12" i="17"/>
  <c r="M4" i="17"/>
  <c r="M177" i="17"/>
  <c r="M10" i="17"/>
  <c r="M151" i="17"/>
  <c r="M11" i="17"/>
  <c r="M43" i="17"/>
  <c r="M18" i="17"/>
  <c r="M6" i="17"/>
  <c r="M13" i="17"/>
  <c r="M5" i="17"/>
  <c r="M143" i="17"/>
  <c r="M152" i="17"/>
  <c r="M153" i="17"/>
  <c r="M163" i="17"/>
  <c r="M140" i="17"/>
  <c r="M162" i="17"/>
  <c r="M142" i="17"/>
  <c r="M141" i="17"/>
  <c r="M166" i="17"/>
  <c r="M145" i="17"/>
  <c r="M22" i="17"/>
  <c r="M150" i="17"/>
  <c r="M178" i="17"/>
  <c r="M8" i="17"/>
  <c r="M174" i="17"/>
  <c r="M9" i="17"/>
  <c r="M167" i="17"/>
  <c r="M3" i="17"/>
  <c r="M175" i="17"/>
  <c r="M155" i="17"/>
  <c r="M125" i="17"/>
  <c r="M23" i="17"/>
  <c r="M126" i="17"/>
  <c r="M62" i="17"/>
  <c r="M123" i="17"/>
  <c r="M171" i="17"/>
  <c r="M128" i="17"/>
  <c r="M176" i="17"/>
  <c r="M121" i="17"/>
  <c r="M157" i="17"/>
  <c r="M120" i="17"/>
  <c r="M164" i="17"/>
  <c r="M158" i="17"/>
  <c r="M139" i="17"/>
  <c r="M122" i="17"/>
  <c r="M170" i="17"/>
  <c r="M124" i="17"/>
  <c r="M76" i="17"/>
  <c r="M127" i="17"/>
  <c r="M146" i="17"/>
  <c r="M119" i="17"/>
  <c r="M156" i="17"/>
  <c r="M129" i="17"/>
  <c r="M53" i="17"/>
  <c r="AG3" i="1" l="1"/>
  <c r="N3" i="17" s="1"/>
  <c r="AG4" i="1" l="1"/>
  <c r="AG5" i="1" l="1"/>
  <c r="N5" i="17" l="1"/>
  <c r="AG6" i="1" l="1"/>
  <c r="N6" i="17" l="1"/>
  <c r="AG7" i="1" l="1"/>
  <c r="N7" i="17" l="1"/>
  <c r="AG8" i="1" l="1"/>
  <c r="N8" i="17" l="1"/>
  <c r="AG9" i="1" l="1"/>
  <c r="N9" i="17" l="1"/>
  <c r="AG10" i="1"/>
  <c r="N10" i="17" l="1"/>
  <c r="AG11" i="1"/>
  <c r="N11" i="17" l="1"/>
  <c r="AG12" i="1"/>
  <c r="N12" i="17" s="1"/>
  <c r="AG13" i="1" l="1"/>
  <c r="N13" i="17" l="1"/>
  <c r="AG14" i="1"/>
  <c r="N14" i="17" l="1"/>
  <c r="AG15" i="1"/>
  <c r="N15" i="17" l="1"/>
  <c r="AG16" i="1"/>
  <c r="N16" i="17" l="1"/>
  <c r="AG17" i="1"/>
  <c r="N17" i="17" l="1"/>
  <c r="AG18" i="1"/>
  <c r="AG19" i="1" l="1"/>
  <c r="N18" i="17"/>
  <c r="N19" i="17" l="1"/>
  <c r="AG20" i="1"/>
  <c r="N20" i="17" l="1"/>
  <c r="AG21" i="1"/>
  <c r="N21" i="17" l="1"/>
  <c r="AG22" i="1"/>
  <c r="N22" i="17" l="1"/>
  <c r="AG23" i="1"/>
  <c r="N23" i="17" l="1"/>
  <c r="AG24" i="1"/>
  <c r="N24" i="17" l="1"/>
  <c r="AG25" i="1"/>
  <c r="N25" i="17" l="1"/>
  <c r="AG26" i="1"/>
  <c r="N26" i="17" l="1"/>
  <c r="AG27" i="1"/>
  <c r="N27" i="17" l="1"/>
  <c r="AG28" i="1"/>
  <c r="AG29" i="1" l="1"/>
  <c r="N28" i="17"/>
  <c r="AG30" i="1" l="1"/>
  <c r="N29" i="17"/>
  <c r="AH3" i="1"/>
  <c r="AH4" i="1" s="1"/>
  <c r="AH5" i="1" s="1"/>
  <c r="AH6" i="1" s="1"/>
  <c r="AH7" i="1" s="1"/>
  <c r="AH8" i="1" s="1"/>
  <c r="AH9" i="1" s="1"/>
  <c r="AH10" i="1" s="1"/>
  <c r="AH11" i="1" s="1"/>
  <c r="AH12" i="1" s="1"/>
  <c r="AH13" i="1" s="1"/>
  <c r="AH14" i="1" s="1"/>
  <c r="AH15" i="1" s="1"/>
  <c r="AH16" i="1" s="1"/>
  <c r="AH17" i="1" s="1"/>
  <c r="AH18" i="1" s="1"/>
  <c r="AH19" i="1" s="1"/>
  <c r="AH20" i="1" s="1"/>
  <c r="AH21" i="1" s="1"/>
  <c r="AH22" i="1" s="1"/>
  <c r="AH23" i="1" s="1"/>
  <c r="AH24" i="1" s="1"/>
  <c r="AH25" i="1" s="1"/>
  <c r="AH26" i="1" s="1"/>
  <c r="AH27" i="1" s="1"/>
  <c r="AH28" i="1" s="1"/>
  <c r="AH29" i="1" s="1"/>
  <c r="AH30" i="1" s="1"/>
  <c r="AH31" i="1" s="1"/>
  <c r="AH32" i="1" s="1"/>
  <c r="AH33" i="1" s="1"/>
  <c r="AH34" i="1" s="1"/>
  <c r="AH35" i="1" s="1"/>
  <c r="AH36" i="1" s="1"/>
  <c r="AH37" i="1" s="1"/>
  <c r="AH38" i="1" s="1"/>
  <c r="AH39" i="1" s="1"/>
  <c r="AH40" i="1" s="1"/>
  <c r="AH41" i="1" s="1"/>
  <c r="AH42" i="1" s="1"/>
  <c r="AH43" i="1" s="1"/>
  <c r="AH44" i="1" s="1"/>
  <c r="AH45" i="1" s="1"/>
  <c r="AH46" i="1" s="1"/>
  <c r="AH47" i="1" s="1"/>
  <c r="AH48" i="1" s="1"/>
  <c r="AH49" i="1" s="1"/>
  <c r="AH50" i="1" s="1"/>
  <c r="AH51" i="1" s="1"/>
  <c r="AH52" i="1" s="1"/>
  <c r="AH53" i="1" s="1"/>
  <c r="AH54" i="1" s="1"/>
  <c r="AH55" i="1" s="1"/>
  <c r="AH56" i="1" s="1"/>
  <c r="AH57" i="1" s="1"/>
  <c r="AH58" i="1" s="1"/>
  <c r="AH59" i="1" s="1"/>
  <c r="AH60" i="1" s="1"/>
  <c r="AH61" i="1" s="1"/>
  <c r="AH62" i="1" s="1"/>
  <c r="AH63" i="1" s="1"/>
  <c r="AH64" i="1" s="1"/>
  <c r="AH65" i="1" s="1"/>
  <c r="AH66" i="1" s="1"/>
  <c r="AH67" i="1" s="1"/>
  <c r="AH68" i="1" s="1"/>
  <c r="AH69" i="1" s="1"/>
  <c r="AH70" i="1" s="1"/>
  <c r="AH71" i="1" s="1"/>
  <c r="AH72" i="1" s="1"/>
  <c r="AH73" i="1" s="1"/>
  <c r="AH74" i="1" s="1"/>
  <c r="AH75" i="1" s="1"/>
  <c r="AH76" i="1" s="1"/>
  <c r="AH77" i="1" s="1"/>
  <c r="AH78" i="1" s="1"/>
  <c r="AH79" i="1" s="1"/>
  <c r="AH80" i="1" s="1"/>
  <c r="AH81" i="1" s="1"/>
  <c r="AH82" i="1" s="1"/>
  <c r="AH83" i="1" s="1"/>
  <c r="AH84" i="1" s="1"/>
  <c r="AH85" i="1" s="1"/>
  <c r="AH86" i="1" s="1"/>
  <c r="AH87" i="1" s="1"/>
  <c r="AH88" i="1" s="1"/>
  <c r="AH89" i="1" s="1"/>
  <c r="AH90" i="1" s="1"/>
  <c r="AH91" i="1" s="1"/>
  <c r="AH92" i="1" s="1"/>
  <c r="AH93" i="1" s="1"/>
  <c r="AH94" i="1" s="1"/>
  <c r="AH95" i="1" s="1"/>
  <c r="AH96" i="1" s="1"/>
  <c r="AH97" i="1" s="1"/>
  <c r="AH98" i="1" s="1"/>
  <c r="AH99" i="1" s="1"/>
  <c r="AH100" i="1" s="1"/>
  <c r="AH101" i="1" s="1"/>
  <c r="AH102" i="1" s="1"/>
  <c r="AH103" i="1" s="1"/>
  <c r="AH104" i="1" s="1"/>
  <c r="AH105" i="1" s="1"/>
  <c r="AH106" i="1" s="1"/>
  <c r="AH107" i="1" s="1"/>
  <c r="AH108" i="1" s="1"/>
  <c r="AH109" i="1" s="1"/>
  <c r="AH110" i="1" s="1"/>
  <c r="AH111" i="1" s="1"/>
  <c r="AH112" i="1" s="1"/>
  <c r="AH113" i="1" s="1"/>
  <c r="AH114" i="1" s="1"/>
  <c r="AH115" i="1" s="1"/>
  <c r="AH116" i="1" s="1"/>
  <c r="AH117" i="1" s="1"/>
  <c r="AH118" i="1" s="1"/>
  <c r="AH119" i="1" s="1"/>
  <c r="AH120" i="1" s="1"/>
  <c r="AH121" i="1" s="1"/>
  <c r="AH122" i="1" s="1"/>
  <c r="AH123" i="1" s="1"/>
  <c r="AH124" i="1" s="1"/>
  <c r="AH125" i="1" s="1"/>
  <c r="AH126" i="1" s="1"/>
  <c r="AH127" i="1" s="1"/>
  <c r="AH128" i="1" s="1"/>
  <c r="AH129" i="1" s="1"/>
  <c r="AH130" i="1" s="1"/>
  <c r="AH131" i="1" s="1"/>
  <c r="AH132" i="1" s="1"/>
  <c r="AH133" i="1" s="1"/>
  <c r="AH134" i="1" s="1"/>
  <c r="AH135" i="1" s="1"/>
  <c r="AH136" i="1" s="1"/>
  <c r="AH137" i="1" s="1"/>
  <c r="AH138" i="1" s="1"/>
  <c r="AH139" i="1" s="1"/>
  <c r="AH140" i="1" s="1"/>
  <c r="AH141" i="1" s="1"/>
  <c r="AH142" i="1" s="1"/>
  <c r="AH143" i="1" s="1"/>
  <c r="AH144" i="1" s="1"/>
  <c r="AH145" i="1" s="1"/>
  <c r="AH146" i="1" s="1"/>
  <c r="AH147" i="1" s="1"/>
  <c r="AH148" i="1" s="1"/>
  <c r="AH149" i="1" s="1"/>
  <c r="AH150" i="1" s="1"/>
  <c r="AH151" i="1" s="1"/>
  <c r="AH152" i="1" s="1"/>
  <c r="AH153" i="1" s="1"/>
  <c r="AH154" i="1" s="1"/>
  <c r="AH155" i="1" s="1"/>
  <c r="AH156" i="1" s="1"/>
  <c r="AH157" i="1" s="1"/>
  <c r="AH158" i="1" s="1"/>
  <c r="AH159" i="1" s="1"/>
  <c r="AH160" i="1" s="1"/>
  <c r="AH161" i="1" s="1"/>
  <c r="AH162" i="1" s="1"/>
  <c r="AH163" i="1" s="1"/>
  <c r="AH164" i="1" s="1"/>
  <c r="AH165" i="1" s="1"/>
  <c r="AH166" i="1" s="1"/>
  <c r="AH167" i="1" s="1"/>
  <c r="AH168" i="1" s="1"/>
  <c r="AH169" i="1" s="1"/>
  <c r="AH170" i="1" s="1"/>
  <c r="AH171" i="1" s="1"/>
  <c r="AH172" i="1" s="1"/>
  <c r="AH173" i="1" s="1"/>
  <c r="AH174" i="1" s="1"/>
  <c r="AH175" i="1" s="1"/>
  <c r="AH176" i="1" s="1"/>
  <c r="AH177" i="1" s="1"/>
  <c r="AH178" i="1" s="1"/>
  <c r="AH179" i="1" s="1"/>
  <c r="N30" i="17" l="1"/>
  <c r="AG31" i="1"/>
  <c r="N31" i="17" l="1"/>
  <c r="AG32" i="1"/>
  <c r="N32" i="17" l="1"/>
  <c r="AG33" i="1"/>
  <c r="N33" i="17" l="1"/>
  <c r="AG34" i="1"/>
  <c r="N34" i="17" l="1"/>
  <c r="AG35" i="1"/>
  <c r="N35" i="17" l="1"/>
  <c r="AG36" i="1"/>
  <c r="N36" i="17" l="1"/>
  <c r="AG37" i="1"/>
  <c r="AG38" i="1" l="1"/>
  <c r="N37" i="17"/>
  <c r="N38" i="17" l="1"/>
  <c r="AG39" i="1"/>
  <c r="N39" i="17" l="1"/>
  <c r="AG40" i="1"/>
  <c r="N40" i="17" l="1"/>
  <c r="AG41" i="1"/>
  <c r="N41" i="17" l="1"/>
  <c r="AG42" i="1"/>
  <c r="N42" i="17" l="1"/>
  <c r="AG43" i="1"/>
  <c r="N43" i="17" l="1"/>
  <c r="AG44" i="1"/>
  <c r="N44" i="17" l="1"/>
  <c r="AG45" i="1"/>
  <c r="N45" i="17" l="1"/>
  <c r="AG46" i="1"/>
  <c r="N46" i="17" l="1"/>
  <c r="AG47" i="1"/>
  <c r="N47" i="17" l="1"/>
  <c r="AG48" i="1"/>
  <c r="N48" i="17" l="1"/>
  <c r="AG49" i="1"/>
  <c r="N49" i="17" l="1"/>
  <c r="AG50" i="1"/>
  <c r="N50" i="17" l="1"/>
  <c r="AG51" i="1"/>
  <c r="N51" i="17" l="1"/>
  <c r="AG52" i="1"/>
  <c r="N52" i="17" l="1"/>
  <c r="AG53" i="1"/>
  <c r="N53" i="17" l="1"/>
  <c r="AG54" i="1"/>
  <c r="N54" i="17" l="1"/>
  <c r="AG55" i="1"/>
  <c r="N55" i="17" l="1"/>
  <c r="AG56" i="1"/>
  <c r="N56" i="17" l="1"/>
  <c r="AG57" i="1"/>
  <c r="N57" i="17" l="1"/>
  <c r="AG58" i="1"/>
  <c r="N58" i="17" l="1"/>
  <c r="AG59" i="1"/>
  <c r="N59" i="17" l="1"/>
  <c r="AG60" i="1"/>
  <c r="N60" i="17" l="1"/>
  <c r="AG61" i="1"/>
  <c r="N61" i="17" l="1"/>
  <c r="AG62" i="1"/>
  <c r="N62" i="17" l="1"/>
  <c r="AG63" i="1"/>
  <c r="AG64" i="1" l="1"/>
  <c r="N63" i="17"/>
  <c r="AG65" i="1" l="1"/>
  <c r="N64" i="17"/>
  <c r="AG66" i="1" l="1"/>
  <c r="N65" i="17"/>
  <c r="N66" i="17" l="1"/>
  <c r="AG67" i="1"/>
  <c r="N67" i="17" l="1"/>
  <c r="AG68" i="1"/>
  <c r="N68" i="17" l="1"/>
  <c r="AG69" i="1"/>
  <c r="N69" i="17" l="1"/>
  <c r="AG70" i="1"/>
  <c r="N70" i="17" l="1"/>
  <c r="AG71" i="1"/>
  <c r="AG72" i="1" l="1"/>
  <c r="N71" i="17"/>
  <c r="AG73" i="1" l="1"/>
  <c r="N72" i="17"/>
  <c r="AG74" i="1" l="1"/>
  <c r="N73" i="17"/>
  <c r="AG75" i="1" l="1"/>
  <c r="N74" i="17"/>
  <c r="AG76" i="1" l="1"/>
  <c r="N75" i="17"/>
  <c r="AG77" i="1" l="1"/>
  <c r="N76" i="17"/>
  <c r="AG78" i="1" l="1"/>
  <c r="N77" i="17"/>
  <c r="N78" i="17" l="1"/>
  <c r="AG79" i="1"/>
  <c r="N79" i="17" l="1"/>
  <c r="AG80" i="1"/>
  <c r="AG81" i="1" l="1"/>
  <c r="N80" i="17"/>
  <c r="AG82" i="1" l="1"/>
  <c r="N81" i="17"/>
  <c r="AG83" i="1" l="1"/>
  <c r="N82" i="17"/>
  <c r="N83" i="17" l="1"/>
  <c r="AG84" i="1"/>
  <c r="N84" i="17" l="1"/>
  <c r="AG85" i="1"/>
  <c r="N85" i="17" l="1"/>
  <c r="AG86" i="1"/>
  <c r="N86" i="17" l="1"/>
  <c r="AG87" i="1"/>
  <c r="N87" i="17" l="1"/>
  <c r="AG88" i="1"/>
  <c r="N88" i="17" l="1"/>
  <c r="AG89" i="1"/>
  <c r="N89" i="17" l="1"/>
  <c r="AG90" i="1"/>
  <c r="N90" i="17" l="1"/>
  <c r="AG91" i="1"/>
  <c r="N91" i="17" l="1"/>
  <c r="AG92" i="1"/>
  <c r="N92" i="17" l="1"/>
  <c r="AG93" i="1"/>
  <c r="N93" i="17" l="1"/>
  <c r="AG94" i="1"/>
  <c r="N94" i="17" l="1"/>
  <c r="AG95" i="1"/>
  <c r="AG96" i="1" l="1"/>
  <c r="N95" i="17"/>
  <c r="AG97" i="1" l="1"/>
  <c r="N96" i="17"/>
  <c r="AG98" i="1" l="1"/>
  <c r="N97" i="17"/>
  <c r="AG99" i="1" l="1"/>
  <c r="N98" i="17"/>
  <c r="N99" i="17" l="1"/>
  <c r="AG100" i="1"/>
  <c r="N100" i="17" l="1"/>
  <c r="AG101" i="1"/>
  <c r="N101" i="17" l="1"/>
  <c r="AG102" i="1"/>
  <c r="N102" i="17" l="1"/>
  <c r="AG103" i="1"/>
  <c r="N103" i="17" l="1"/>
  <c r="AG104" i="1"/>
  <c r="N104" i="17" l="1"/>
  <c r="AG105" i="1"/>
  <c r="N105" i="17" l="1"/>
  <c r="AG106" i="1"/>
  <c r="N106" i="17" l="1"/>
  <c r="AG107" i="1"/>
  <c r="N107" i="17" l="1"/>
  <c r="AG108" i="1"/>
  <c r="N108" i="17" l="1"/>
  <c r="AG109" i="1"/>
  <c r="N109" i="17" l="1"/>
  <c r="AG110" i="1"/>
  <c r="N110" i="17" l="1"/>
  <c r="AG111" i="1"/>
  <c r="N111" i="17" l="1"/>
  <c r="AG112" i="1"/>
  <c r="N112" i="17" l="1"/>
  <c r="AG113" i="1"/>
  <c r="N113" i="17" l="1"/>
  <c r="AG114" i="1"/>
  <c r="N114" i="17" l="1"/>
  <c r="AG115" i="1"/>
  <c r="N115" i="17" l="1"/>
  <c r="AG116" i="1"/>
  <c r="N116" i="17" l="1"/>
  <c r="AG117" i="1"/>
  <c r="N117" i="17" l="1"/>
  <c r="AG118" i="1"/>
  <c r="AG119" i="1" l="1"/>
  <c r="N118" i="17"/>
  <c r="N4" i="17" l="1"/>
  <c r="AG120" i="1"/>
  <c r="N119" i="17"/>
  <c r="AG121" i="1" l="1"/>
  <c r="N120" i="17"/>
  <c r="AG122" i="1" l="1"/>
  <c r="N121" i="17"/>
  <c r="AG123" i="1" l="1"/>
  <c r="N122" i="17"/>
  <c r="AG124" i="1" l="1"/>
  <c r="N123" i="17"/>
  <c r="AG125" i="1" l="1"/>
  <c r="N124" i="17"/>
  <c r="AG126" i="1" l="1"/>
  <c r="N125" i="17"/>
  <c r="AG127" i="1" l="1"/>
  <c r="N126" i="17"/>
  <c r="AG128" i="1" l="1"/>
  <c r="N127" i="17"/>
  <c r="AG129" i="1" l="1"/>
  <c r="N128" i="17"/>
  <c r="AG130" i="1" l="1"/>
  <c r="N129" i="17"/>
  <c r="AG131" i="1" l="1"/>
  <c r="N130" i="17"/>
  <c r="AG132" i="1" l="1"/>
  <c r="N131" i="17"/>
  <c r="AG133" i="1" l="1"/>
  <c r="N132" i="17"/>
  <c r="AG134" i="1" l="1"/>
  <c r="N133" i="17"/>
  <c r="AG135" i="1" l="1"/>
  <c r="N134" i="17"/>
  <c r="AG136" i="1" l="1"/>
  <c r="N135" i="17"/>
  <c r="AG137" i="1" l="1"/>
  <c r="N136" i="17"/>
  <c r="AG138" i="1" l="1"/>
  <c r="N137" i="17"/>
  <c r="AG139" i="1" l="1"/>
  <c r="N138" i="17"/>
  <c r="AG140" i="1" l="1"/>
  <c r="N139" i="17"/>
  <c r="AG141" i="1" l="1"/>
  <c r="N140" i="17"/>
  <c r="AG142" i="1" l="1"/>
  <c r="N141" i="17"/>
  <c r="AG143" i="1" l="1"/>
  <c r="N142" i="17"/>
  <c r="AG144" i="1" l="1"/>
  <c r="N143" i="17"/>
  <c r="AG145" i="1" l="1"/>
  <c r="N144" i="17"/>
  <c r="AG146" i="1" l="1"/>
  <c r="N145" i="17"/>
  <c r="AG147" i="1" l="1"/>
  <c r="N146" i="17"/>
  <c r="AG148" i="1" l="1"/>
  <c r="N147" i="17"/>
  <c r="AG149" i="1" l="1"/>
  <c r="N148" i="17"/>
  <c r="AG150" i="1" l="1"/>
  <c r="N149" i="17"/>
  <c r="N150" i="17" l="1"/>
  <c r="AG151" i="1"/>
  <c r="N151" i="17" l="1"/>
  <c r="AG152" i="1"/>
  <c r="N152" i="17" l="1"/>
  <c r="AG153" i="1"/>
  <c r="N153" i="17" l="1"/>
  <c r="AG154" i="1"/>
  <c r="N154" i="17" l="1"/>
  <c r="AG155" i="1"/>
  <c r="N155" i="17" l="1"/>
  <c r="AG156" i="1"/>
  <c r="N156" i="17" l="1"/>
  <c r="AG157" i="1"/>
  <c r="AG158" i="1" l="1"/>
  <c r="N157" i="17"/>
  <c r="AG159" i="1" l="1"/>
  <c r="N158" i="17"/>
  <c r="AG160" i="1" l="1"/>
  <c r="N159" i="17"/>
  <c r="AG161" i="1" l="1"/>
  <c r="N160" i="17"/>
  <c r="AG162" i="1" l="1"/>
  <c r="N161" i="17"/>
  <c r="AG163" i="1" l="1"/>
  <c r="N162" i="17"/>
  <c r="AG164" i="1" l="1"/>
  <c r="N163" i="17"/>
  <c r="AG165" i="1" l="1"/>
  <c r="N164" i="17"/>
  <c r="AG166" i="1" l="1"/>
  <c r="N165" i="17"/>
  <c r="AG167" i="1" l="1"/>
  <c r="N166" i="17"/>
  <c r="AG168" i="1" l="1"/>
  <c r="N167" i="17"/>
  <c r="AG169" i="1" l="1"/>
  <c r="N168" i="17"/>
  <c r="AG170" i="1" l="1"/>
  <c r="N169" i="17"/>
  <c r="AG171" i="1" l="1"/>
  <c r="N170" i="17"/>
  <c r="AG172" i="1" l="1"/>
  <c r="N171" i="17"/>
  <c r="AG173" i="1" l="1"/>
  <c r="N172" i="17"/>
  <c r="AG174" i="1" l="1"/>
  <c r="N173" i="17"/>
  <c r="AG175" i="1" l="1"/>
  <c r="N174" i="17"/>
  <c r="AG176" i="1" l="1"/>
  <c r="N175" i="17"/>
  <c r="AG177" i="1" l="1"/>
  <c r="N176" i="17"/>
  <c r="AG178" i="1" l="1"/>
  <c r="N177" i="17"/>
  <c r="N178" i="17" l="1"/>
  <c r="AG1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tc={984CF417-0149-4CF9-8EDF-50E405F63C93}</author>
  </authors>
  <commentList>
    <comment ref="E24" authorId="0" shapeId="0" xr:uid="{984CF417-0149-4CF9-8EDF-50E405F63C93}">
      <text>
        <t>[Threaded comment]
Your version of Excel allows you to read this threaded comment; however, any edits to it will get removed if the file is opened in a newer version of Excel. Learn more: https://go.microsoft.com/fwlink/?linkid=870924
Comment:
    Updated to $2m following feedback from AT Delivery and the need to treat intersections</t>
      </text>
    </comment>
  </commentList>
</comments>
</file>

<file path=xl/sharedStrings.xml><?xml version="1.0" encoding="utf-8"?>
<sst xmlns="http://schemas.openxmlformats.org/spreadsheetml/2006/main" count="2379" uniqueCount="651">
  <si>
    <t>Instructions for using this prioritisation tool</t>
  </si>
  <si>
    <t>Purpose of tool</t>
  </si>
  <si>
    <t>This is a tool for prioritising routes for delivery. It is only a tool and does not replace the need for reviewing the results in light of the limitations of the data used as inputs.</t>
  </si>
  <si>
    <t>Updating inputs</t>
  </si>
  <si>
    <t xml:space="preserve">The "Inputs" tab should be updated with any new information, for example if another project is committed for funding and previously wasn't, then the connectivity score could be updated for all connecting routes. The "Lookup" tab has more information on the criteria and associated scoring scale used. </t>
  </si>
  <si>
    <t>Interrogating results</t>
  </si>
  <si>
    <t>The 'Route priority' and 'Proxy BCR priority' tabs should be used to determine the priority routes for SSBC-lite development (or SSBC development if route will cost more than $15m for implementation), noting:
- the demand used in the 'Proxy BCR priority' may be reliant on other projects and does not include RTN or school demands, so some routes that score high in the proxy BCR may not be suitable for high priority implementation because they would not be able to achieve the forecast demands in the short term
- the 'Route priority' scores do not account for demands, so some routes identified as high priority may not have good BCRs due to low forecast demand</t>
  </si>
  <si>
    <t>The results of the 'Route Priority' and Proxy BCR priority' tabs should be checked bearing in mind the limitations outlined in the section below and by considering how the 'Area priority' tab scores the suburbs. The Area scores are indicative of how well the surrounding networks adjacent to the routes would score and may influence the order of priority of routes because they are indicative of the benefits and ease of delivery of providing connections to the route</t>
  </si>
  <si>
    <t>Limitations and assumptions</t>
  </si>
  <si>
    <t>Cycle demands are from the Auckland Cycle Model (ACM) and do not include demands to RTN stations and schools - therefore some route demands will be lower than could be achieved</t>
  </si>
  <si>
    <t>Routes with no demands from the ACN are assumed to have 20 cyclists per day for the Proxy BCR calculation, which could be lower than what could be achieved for routes near stations or schools</t>
  </si>
  <si>
    <t>The Proxy BCR values do not represent what actual BCRs will be, just the likely ranking of the routes BCRs eg a route may have a proxy BCR value of 1000 which would indicate the BCR would likely be higher than the BCR of a route with a proxy value of 500,  but not that the actual BCR would be 1000</t>
  </si>
  <si>
    <t>For any questions / queries, please contact Ella Davis (AT): ella.davis@at.govt.nz</t>
  </si>
  <si>
    <t>CAM Classification</t>
  </si>
  <si>
    <t>Value</t>
  </si>
  <si>
    <t xml:space="preserve">Strategic - Regional </t>
  </si>
  <si>
    <t>N/A</t>
  </si>
  <si>
    <t xml:space="preserve">Strategic - Major </t>
  </si>
  <si>
    <t>Strategic - Connector</t>
  </si>
  <si>
    <t>Connectivity</t>
  </si>
  <si>
    <t>Yes - Existing (Protected - safe)</t>
  </si>
  <si>
    <t>Note: Not necessarily an 'appropriate' facility (i.e. inadequate shared path widths) but still considered safe. Therefore includes 'moderate' deficiency indicator for the CAM network in Future Connect</t>
  </si>
  <si>
    <t>Yes - Existing (Unprotected - unsafe)</t>
  </si>
  <si>
    <t xml:space="preserve">Note: Includes 'high' deficiency indicator for the CAM network in Future Connect - unprotected facilities (i.e. painted lanes). Have scored '3' as pop up protection programme will upgrade some painted cycle lanes. </t>
  </si>
  <si>
    <t>Yes - Committed</t>
  </si>
  <si>
    <t xml:space="preserve">Scored '4' as still relies on future facility </t>
  </si>
  <si>
    <t>Yes - Planned</t>
  </si>
  <si>
    <t>Scored '1' due to risk of non-delivery</t>
  </si>
  <si>
    <t>No</t>
  </si>
  <si>
    <t># of Connection Types (from shortlist options)</t>
  </si>
  <si>
    <t>Regional; RTN; School; Metro</t>
  </si>
  <si>
    <t xml:space="preserve">Potential Deliverability </t>
  </si>
  <si>
    <t>Waka Kotahi network - off-road ($20m/km)</t>
  </si>
  <si>
    <t>AT network - move kerbs ($10m/km)</t>
  </si>
  <si>
    <t>Typically where there are existing/planned bus lanes (FTN); where there are multiple strategic modal priorities; or new structures required</t>
  </si>
  <si>
    <t>AT network - mid-range ($5m/km)</t>
  </si>
  <si>
    <t>Typically where there are opportunities to reallocate road space; but certain pinchpoints in sections may require kerb movements</t>
  </si>
  <si>
    <t>AT network - reallocate road space ($1m/km)</t>
  </si>
  <si>
    <t>Typically where there are no existing/planned bus lanes (non-FTN), no/limited strategic modal priorities AND space available (e.g. parking, flush median, wide berm)</t>
  </si>
  <si>
    <t>Active Road User Corridor Risk (KiwiRAP 2014-2018)</t>
  </si>
  <si>
    <t>High</t>
  </si>
  <si>
    <t>Note: Waka Kotahi network scores 'low' as there is no current risk (due to their being no active mode provision, yet the risk is transferred to AT network). Have therefore updated WK connections to 'High' risk.</t>
  </si>
  <si>
    <t>Medium High</t>
  </si>
  <si>
    <t xml:space="preserve">Medium   </t>
  </si>
  <si>
    <t>Low Medium</t>
  </si>
  <si>
    <t xml:space="preserve">Low  </t>
  </si>
  <si>
    <t>Ref</t>
  </si>
  <si>
    <t>Area</t>
  </si>
  <si>
    <t>Connection</t>
  </si>
  <si>
    <t>Length (km)</t>
  </si>
  <si>
    <t>Connectivity SCORE</t>
  </si>
  <si>
    <t xml:space="preserve">Comment on Connectivity </t>
  </si>
  <si>
    <t># of Connection Types</t>
  </si>
  <si>
    <t># of total Connections SCORE</t>
  </si>
  <si>
    <t>Potential Deliverability</t>
  </si>
  <si>
    <t>High-Level Cost ($M per km)</t>
  </si>
  <si>
    <t>High Level Total Cost ($M)</t>
  </si>
  <si>
    <t>Deliverability Score</t>
  </si>
  <si>
    <t>Comments on Deliverability</t>
  </si>
  <si>
    <t>Safety SCORE</t>
  </si>
  <si>
    <t>Prioritisation SCORE</t>
  </si>
  <si>
    <t>2028 Demand - schools and/or RTN</t>
  </si>
  <si>
    <t>2028 Demand - from ACM</t>
  </si>
  <si>
    <t>2028 Demand - Additional daily trips</t>
  </si>
  <si>
    <t>Proxy Value for Money (cycle demand*km / cost)</t>
  </si>
  <si>
    <t>Prioritised order</t>
  </si>
  <si>
    <t>Rationale for placement</t>
  </si>
  <si>
    <t>Co-delivery opportunities</t>
  </si>
  <si>
    <t>Construction Cost Estimate ($M) - Route (SSBC-lite)</t>
  </si>
  <si>
    <t>Construction Cost Estimate ($M) - SSBC</t>
  </si>
  <si>
    <t>Investigation/Design Cost Estimate ($M) - Route (SSBC-lite)</t>
  </si>
  <si>
    <t>Investigation/Design Cost Estimate ($M) - SSBC</t>
  </si>
  <si>
    <t>Contingency ($M) - Route (SSBC-lite)</t>
  </si>
  <si>
    <t>Contingency ($M) - SSBC</t>
  </si>
  <si>
    <t>Complementary initiatives ($M)</t>
  </si>
  <si>
    <t>Incremental Cost Estimate ($M)</t>
  </si>
  <si>
    <t>Cumulative km delivered</t>
  </si>
  <si>
    <t>Sensitivity - no connectivity</t>
  </si>
  <si>
    <t>Sensitivity - no connection type</t>
  </si>
  <si>
    <t>Sensitivity - no complexity</t>
  </si>
  <si>
    <t>Sensitivity - no safety</t>
  </si>
  <si>
    <t>Test (do not delete)</t>
  </si>
  <si>
    <t>Henderson</t>
  </si>
  <si>
    <t>Rathgar Road</t>
  </si>
  <si>
    <t>Connects to existing painted cycle lanes on Pomaria Road (connecting to committed Lincoln Rd north project)  (pop-up protection)</t>
  </si>
  <si>
    <t>On-street parking and flush medians</t>
  </si>
  <si>
    <t>High Priority/Proxy value for money - SSBC in development</t>
  </si>
  <si>
    <t>Universal Drive</t>
  </si>
  <si>
    <t xml:space="preserve">Connects to committed Lincoln Rd north project </t>
  </si>
  <si>
    <t>Swanson Rd; GNR</t>
  </si>
  <si>
    <t>Connects to planned ConCom GNR Corridor</t>
  </si>
  <si>
    <t>FTN but not existing/planned bus lanes; multiple GT lanes and flush median</t>
  </si>
  <si>
    <t>SSBC in development (section east of Rathgar Rd critical link to RTN)</t>
  </si>
  <si>
    <t>Māngere</t>
  </si>
  <si>
    <t>Walmsley Rd; Favona Road</t>
  </si>
  <si>
    <t>Connects to Māngere Access Improvements project</t>
  </si>
  <si>
    <t>Multiple GT lanes; flush median; no other strategic modal priorities</t>
  </si>
  <si>
    <t>Potential funding through Central Govt Package. Part of Brownfields PBC recommended programme for Māngere.</t>
  </si>
  <si>
    <t>James Fletcher Road; Tui Street; Kaka Street</t>
  </si>
  <si>
    <t>Connects to existing off-road shared path on Walmsley Rd</t>
  </si>
  <si>
    <t>Flush median; no other strategic modal priorities</t>
  </si>
  <si>
    <t xml:space="preserve">Manukau </t>
  </si>
  <si>
    <t>Carruth Rd</t>
  </si>
  <si>
    <t>Connects to painted lanes on Puhinui Rd</t>
  </si>
  <si>
    <t>On-street parking; flush median; Strategic RTN link but no existing or planned bus lanes</t>
  </si>
  <si>
    <t>Medium Priority/High Proxy value for money</t>
  </si>
  <si>
    <t>Druces Road</t>
  </si>
  <si>
    <t>Connects to existing painted lanes on Brown Road  (pop-up protection)</t>
  </si>
  <si>
    <t>On-street parking; wide grass median; no other strategic modal priorities</t>
  </si>
  <si>
    <t>Ōtāhuhu</t>
  </si>
  <si>
    <t>Station Rd; Mason Ave; GSR connection</t>
  </si>
  <si>
    <t xml:space="preserve">On-street parking. FTN but no planned/committed bus lanes. </t>
  </si>
  <si>
    <t>High Priority/Low Proxy value for money - missing link to RTN (requires section of GSR)</t>
  </si>
  <si>
    <t>Potential funding through Central Govt Package</t>
  </si>
  <si>
    <t>High Street; Trenwith Street</t>
  </si>
  <si>
    <t>Connects to existing off-road shared path along Highbrook Drive</t>
  </si>
  <si>
    <t>On-street parking</t>
  </si>
  <si>
    <t>High Priority/Low Proxy value for money - missing link to existing network</t>
  </si>
  <si>
    <t>Manurewa</t>
  </si>
  <si>
    <t>Roscommon Road</t>
  </si>
  <si>
    <t>High Priority/Proxy value for money</t>
  </si>
  <si>
    <t>Mahia Road</t>
  </si>
  <si>
    <t>Connects to existing painted lanes on Weymouth Road (pop up protection)</t>
  </si>
  <si>
    <t>On-street parking; flush median; no other strategic modal priorities</t>
  </si>
  <si>
    <t>Westgate</t>
  </si>
  <si>
    <t>Hobsonville Rd; Buckley Ave</t>
  </si>
  <si>
    <t>Connects to painted lanes</t>
  </si>
  <si>
    <t>Flush median; on-street parking; no current/committed bus plans despite FTN</t>
  </si>
  <si>
    <t>Supporting Growth alignment</t>
  </si>
  <si>
    <t>Kelston</t>
  </si>
  <si>
    <t>Archibald Road</t>
  </si>
  <si>
    <t>High Proxy value for money - part of New Lynn Area SSBC</t>
  </si>
  <si>
    <t>New Lynn</t>
  </si>
  <si>
    <t>Titirangi Road</t>
  </si>
  <si>
    <t>Multiple GT lanes; flush median; pinchpoints and numerous intersections</t>
  </si>
  <si>
    <t xml:space="preserve">Low Proxy value for money but ties in with Ash/Rata Street and connects to existing </t>
  </si>
  <si>
    <t>Rata Street</t>
  </si>
  <si>
    <t xml:space="preserve">Connects to planned ConCom GNR Corridor. Possible connection to New Lynn to Avondale shared path. </t>
  </si>
  <si>
    <t>Wide median; multiple GT lanes</t>
  </si>
  <si>
    <t>Part of current Safety intersections/corridors programme. Could consider funding alignment to ensure safe cycle provision.</t>
  </si>
  <si>
    <t>Ash Street</t>
  </si>
  <si>
    <t xml:space="preserve">Connects to planned ConCom GNR Corridor. Possible connection to Oakley Creek shared path. </t>
  </si>
  <si>
    <t>Avondale</t>
  </si>
  <si>
    <t>Rosebank Road</t>
  </si>
  <si>
    <t>Connects to NW shared path and Waterview shared path</t>
  </si>
  <si>
    <t>FTN and L1A Freight; could possibly remove flush median</t>
  </si>
  <si>
    <t>Takapuna</t>
  </si>
  <si>
    <t>Kitchener Rd; Hurstmere Rd</t>
  </si>
  <si>
    <t>Connects to existing shared path on Shakespeare Rd</t>
  </si>
  <si>
    <t>FTN route but no existing/planned bus lanes; on-street parking</t>
  </si>
  <si>
    <t>Anzac St</t>
  </si>
  <si>
    <t xml:space="preserve">Connects to existing painted lanes (pop-up protection) </t>
  </si>
  <si>
    <t>FTN route but no existing/planned bus lanes; on-street parking but pinchpoints</t>
  </si>
  <si>
    <t>High Proxy value for money</t>
  </si>
  <si>
    <t>Onehunga</t>
  </si>
  <si>
    <t>Mt Smart Rd (west of Onehunga Mall Rd); Onehunga Mall Rd</t>
  </si>
  <si>
    <t>Connects to committed ConCom corridors</t>
  </si>
  <si>
    <t>FTN but no existing/planned bus lanes; multiple intersections; town centre</t>
  </si>
  <si>
    <t>High Priority/Proxy value for money - Mt Smart Rd from Manukau Rd to Onehunga Mall Rd (&amp; Onehunga Mall Rd)</t>
  </si>
  <si>
    <t>Hendry Ave</t>
  </si>
  <si>
    <t>Connects to existing SW shared path</t>
  </si>
  <si>
    <t>Space to provide protected facility on berm</t>
  </si>
  <si>
    <t>High Priority/Low Proxy value for money</t>
  </si>
  <si>
    <t>Potential funding through Central Govt Package. Network Optimisation SSBC recommending SW Cycleway improvements on Hendry Drive.</t>
  </si>
  <si>
    <t>Panmure</t>
  </si>
  <si>
    <t>Pilkington Road; Queens Rd</t>
  </si>
  <si>
    <t xml:space="preserve">Missing link between Glen Innes and Panmure (Links to GI and Eastern Busway committed projects). </t>
  </si>
  <si>
    <t>Flush median (north); on-street parking (south); no other strategic modal priorities</t>
  </si>
  <si>
    <t xml:space="preserve">High Priority/Proxy value for money - key missing link </t>
  </si>
  <si>
    <t xml:space="preserve">Potential funding through Central Govt Package. Not identified in Brownfields PBC recommended programme for Tāmaki as Te Horeta extention is assumed. Consider Te Horeta extension IBC, which could deliver off-road walking and cycling connection.  </t>
  </si>
  <si>
    <t>Mt Wellington</t>
  </si>
  <si>
    <t>Mt Wellington Highway (north of SE Highway off-ramp)</t>
  </si>
  <si>
    <t>Connects to committed Eastern Busway cycle facility</t>
  </si>
  <si>
    <t>Primary Arterial, FTN and L3 Freight. 4-5 lanes + flush median. Existing off-road shared path - intermittent provision. Intersection treatments required.</t>
  </si>
  <si>
    <t>Medium Priority/Low Proxy value for money - key missing link south of Te Horeta Rd</t>
  </si>
  <si>
    <t>Potential funding through Central Govt Package. Network Optimisation SSBC recommending improvements at Mt Wellington Interchange.</t>
  </si>
  <si>
    <t>Funded through central govt.</t>
  </si>
  <si>
    <t>Waipuna Road</t>
  </si>
  <si>
    <t>4-5 GT lanes; ability to reallocate space given not on Strategic PT or freight networks</t>
  </si>
  <si>
    <t>High Priority/Proxy value for money - deliver with Mt Wellington Highway</t>
  </si>
  <si>
    <t>Botany</t>
  </si>
  <si>
    <t>Botany Rd</t>
  </si>
  <si>
    <t>Connects to off-road shared path through Lloyd Elsmore Park</t>
  </si>
  <si>
    <t>Flush median; on-street parking; no other stratgeic modal priorities</t>
  </si>
  <si>
    <t>Chapel Road; Ti Rakau Dr</t>
  </si>
  <si>
    <t>Multiple GT lanes; wide berm; no other strategic modal priorities</t>
  </si>
  <si>
    <t xml:space="preserve">Albany </t>
  </si>
  <si>
    <t>East Coast Rd (south of Oteha Valley Rd to Rosedale Rd)</t>
  </si>
  <si>
    <t>Connects to existing painted lanes on East Coast Rd north (pop-up protection)</t>
  </si>
  <si>
    <t>Wide flush median; narrow in sections; additional car parking along sections</t>
  </si>
  <si>
    <t>Sunnynook</t>
  </si>
  <si>
    <t>Albany Highway; Goldfinch Rise</t>
  </si>
  <si>
    <t>Connection to Upper Harbour HW</t>
  </si>
  <si>
    <t>Primary Arterial; FTN; L2 Freight</t>
  </si>
  <si>
    <t>Low Priority/Proxy value for money but missing link</t>
  </si>
  <si>
    <t>Sunnynook Road</t>
  </si>
  <si>
    <t>Connects to existing shared path on East Coast Rd</t>
  </si>
  <si>
    <t xml:space="preserve">Wide lanes/flush median in parts; narrow in sections; pinchpoint at SH1 overbridge </t>
  </si>
  <si>
    <t>Wairau Road</t>
  </si>
  <si>
    <t>Connects to existing painted lanes on Glenfield Road  (pop-up protection)</t>
  </si>
  <si>
    <t xml:space="preserve">Primary Arterial; L1A Freight; but flush median; turning lanes; parking could allow reallocation </t>
  </si>
  <si>
    <t xml:space="preserve">Medium Priority/High Proxy value for money </t>
  </si>
  <si>
    <t>Smales Farm</t>
  </si>
  <si>
    <t>Tristram Avenue (east)</t>
  </si>
  <si>
    <t>Connects to existing shared path on Tristam Ave</t>
  </si>
  <si>
    <t>Gaps in cycle provision - wide lanes; car parking allow for reallocation</t>
  </si>
  <si>
    <t>High Priority/OK Proxy value for money - Smales Farm SSBC?</t>
  </si>
  <si>
    <t>Chivalry Road</t>
  </si>
  <si>
    <t>Connects to existing painted lanes on Glenfield Road (pop-up protection)</t>
  </si>
  <si>
    <t>Sunnybrae Road</t>
  </si>
  <si>
    <t>Connects to existing shared path on Akoranga Dr</t>
  </si>
  <si>
    <t>Flush median; on-street parking</t>
  </si>
  <si>
    <t>Eastern Bays</t>
  </si>
  <si>
    <t>St Heliers Bay Rd</t>
  </si>
  <si>
    <t>Connects to off-road shared path at St Heliers</t>
  </si>
  <si>
    <t>Wide lanes and on-street parking in locations; no strategic modal conflicts</t>
  </si>
  <si>
    <t>Medium Priority/Low Proxy value for money</t>
  </si>
  <si>
    <t>Potential funding through Central Govt Package. Alternative active modes connection proposed in Brownfields PBC recommended programme for Mt Roskill.</t>
  </si>
  <si>
    <t>West Tamaki Rd</t>
  </si>
  <si>
    <t>Connects to committed Links to GI project</t>
  </si>
  <si>
    <t>On street parking; wide lanes</t>
  </si>
  <si>
    <t>Warkworth</t>
  </si>
  <si>
    <t>Puhoi to Mangawhai shared path</t>
  </si>
  <si>
    <t>Connects to existing facilities in Matakana and Matakana Link Road</t>
  </si>
  <si>
    <t>Combination of on-road and off-road treatment. Costs estimates completed.</t>
  </si>
  <si>
    <t>Low cost relative to opportunity - future-proofing</t>
  </si>
  <si>
    <t>Moire Rd; Luckens Rd (west section)</t>
  </si>
  <si>
    <t>Connects to NW Cycleway via Royal Road</t>
  </si>
  <si>
    <t>Flush median; wide lanes;</t>
  </si>
  <si>
    <t>High Priority/Proxy value for money - deliver with Hobsonville Rd incl Luckens and Royal Rd to NW</t>
  </si>
  <si>
    <t>Royal Rd (existing)</t>
  </si>
  <si>
    <t>Connects to NW Cycleway via Makora Road?</t>
  </si>
  <si>
    <t xml:space="preserve">Flush median; wide lanes; pinchpoint on Royal Road overbridge </t>
  </si>
  <si>
    <t>High Priority/Proxy value for money - connection to NW Cycleway from west side</t>
  </si>
  <si>
    <t>Supporting Growth alignment. Network Optimisation SSBC recommending cycle crossing at Royal Rd/Makora Rd intersection.</t>
  </si>
  <si>
    <t>Mt Albert</t>
  </si>
  <si>
    <t>Mt Albert Rd</t>
  </si>
  <si>
    <t xml:space="preserve">FTN but no existing/planned bus lanes; multiple intersections; heavy traffic/freight </t>
  </si>
  <si>
    <t>Medium Priority/High Proxy value for money - talk to ConCom, AT Metro and Light Rail teams</t>
  </si>
  <si>
    <t>St Mary's Bay</t>
  </si>
  <si>
    <t>West End Rd; Jervois Rd (west)</t>
  </si>
  <si>
    <t>Connects to committed UCP projects</t>
  </si>
  <si>
    <t>FTN but no existing/planned bus lanes; on-street parking and flush median</t>
  </si>
  <si>
    <t>Medium Priority/High Proxy value for money - relies on Harbour Crossing</t>
  </si>
  <si>
    <t>Curran St; Jervois Rd (east)</t>
  </si>
  <si>
    <t>Connects to existing shared path on Curran St north</t>
  </si>
  <si>
    <t xml:space="preserve">FTN but no existing/planned bus lanes; on-street parking </t>
  </si>
  <si>
    <t>High Priority/Proxy value for money - relies on Harbour Crossing</t>
  </si>
  <si>
    <t>Edmonton Road</t>
  </si>
  <si>
    <t>Connects to existing painted lanes on Te Atatu Rd leading to NW cyclway</t>
  </si>
  <si>
    <t>Flush median; narrow in sections; no on-street parking</t>
  </si>
  <si>
    <t>High Priority/Proxy value for money; No Connectivity - deliver with Henderson SSBC if connecting to town centre?</t>
  </si>
  <si>
    <t>Network Optimisation SSBC recommending improvements on Edmonton Rd.</t>
  </si>
  <si>
    <t>Newmarket</t>
  </si>
  <si>
    <t>Boston Road</t>
  </si>
  <si>
    <t>Connection to committed cycle facilities on Mt Eden Rd</t>
  </si>
  <si>
    <t>On street parking</t>
  </si>
  <si>
    <t>Medium Priority/High Proxy value for money - deliver with Mountain Rd</t>
  </si>
  <si>
    <t>Mountain Road</t>
  </si>
  <si>
    <t>Connects to planned ConCom Corridor</t>
  </si>
  <si>
    <t xml:space="preserve">Medium Priority/High Proxy value for money - combine Park Road (ConCom Manukau Rd SSBC) to for connectivity </t>
  </si>
  <si>
    <t>East Tamaki</t>
  </si>
  <si>
    <t>Preston Rd; Reagan Rd</t>
  </si>
  <si>
    <t>Connects to committed cycle facility along Ti Rakau Drive as part of Eastern Busway</t>
  </si>
  <si>
    <t xml:space="preserve">Multiple strategic modal priorities - RTN; L2 Freight, Primary Arterial. Flush median and multiple lanes - potential reallocation. Wide grassy berm along most the corridor. Possible reallocation of on-street parking on Preston Rd and Reagan Rd. Pinchpoint on Reagan Rd overbridge. </t>
  </si>
  <si>
    <t>High Priority/Proxy value for money but costly/complex - Preston and Reagan first?</t>
  </si>
  <si>
    <t>Otara</t>
  </si>
  <si>
    <t>Bairds Road (north)</t>
  </si>
  <si>
    <t>Connects to off-road shared path on East Tamaki Rd</t>
  </si>
  <si>
    <t>Wide lanes; flush median; on-street parking; no other strategic modal priorities</t>
  </si>
  <si>
    <t>High Priority/Proxy value for money - missing major link</t>
  </si>
  <si>
    <t>Bairds Road (south)</t>
  </si>
  <si>
    <t>High Priority/Low Proxy value for money - relies on Preston Rd but could deliver with Bairds Rd (north)</t>
  </si>
  <si>
    <t>East Tamaki Rd (west and east)</t>
  </si>
  <si>
    <t>On-street parking and flush median allows reallocation but other strategic modal priorities (FTN, Priary Arterial)</t>
  </si>
  <si>
    <t>High Priority/Low Proxy value for money - missing regional link to Great South Road</t>
  </si>
  <si>
    <t>Flat Bush Road (east); Dawson Rd</t>
  </si>
  <si>
    <t>Connects to painted cycle lanes on Te Irirangi Dr  (pop-up protection)</t>
  </si>
  <si>
    <t>On-street parking; flush median</t>
  </si>
  <si>
    <t>Mt Smart Rd (east of Onehunga Mall Rd); Station Rd</t>
  </si>
  <si>
    <t>Connects to planned ConCom corridors</t>
  </si>
  <si>
    <t xml:space="preserve">Medium Priority/Proxy value for money </t>
  </si>
  <si>
    <t>West of May's Road part of Brownfields PBC recommended programme for Oranga (not the full connection).</t>
  </si>
  <si>
    <t>Mahunga Dr</t>
  </si>
  <si>
    <t>Connects to off-road shared path on northern end</t>
  </si>
  <si>
    <t>Flush median; on-street parking; no other strategic modal priorities</t>
  </si>
  <si>
    <t>Medium Priority/High Proxy value for money - connection to Favona Road (following delivery)</t>
  </si>
  <si>
    <t>Wylie Road</t>
  </si>
  <si>
    <t>Connects to painted lanes on Station Rd and Puhinui Rd  (pop-up protection)</t>
  </si>
  <si>
    <t>Flush median; on-street parking; no strategic modal conflicts</t>
  </si>
  <si>
    <t>Parnell</t>
  </si>
  <si>
    <t>Brighton Rd</t>
  </si>
  <si>
    <t>Connects to planned ConCom Parnell Corridor</t>
  </si>
  <si>
    <t>No strategic modal conflicts; ample on-street parking</t>
  </si>
  <si>
    <t xml:space="preserve">Medium Priority/High Proxy value for money - relies on ConCom Parnell Corridor </t>
  </si>
  <si>
    <t>Shore Rd</t>
  </si>
  <si>
    <t>Connects to off-road shared path adjacent to Orakei Rd</t>
  </si>
  <si>
    <t>Greenlane</t>
  </si>
  <si>
    <t>Campbell Road</t>
  </si>
  <si>
    <t>FTN but no existing/planned bus lanes; however narrow width and intermittent car parking</t>
  </si>
  <si>
    <t>Papakura</t>
  </si>
  <si>
    <t>Walters Rd</t>
  </si>
  <si>
    <t>Connects to existing painted lanes on Porchester Rd (northern section) (pop-up protection)</t>
  </si>
  <si>
    <t>Porchester Road; Ingram Street; Prictor Street</t>
  </si>
  <si>
    <t>Broadway; Clevedon Road (west of Marne Rd)</t>
  </si>
  <si>
    <t>Connection to planned ConCom GSR Corridor</t>
  </si>
  <si>
    <t>Clevedon Rd (east of Marne Rd)</t>
  </si>
  <si>
    <t>On-street parking; flush median; Primary Arterial</t>
  </si>
  <si>
    <t>Marne Rd; Onslow Road; Settlement Road</t>
  </si>
  <si>
    <t>On-street parking; reserve; flush median on Settement Rd; no other strategic modal priorities</t>
  </si>
  <si>
    <t>Beach Road and GSR connection north</t>
  </si>
  <si>
    <t xml:space="preserve">Connects to existing painted lanes on SH1 overbridge onto Southern Corridor Improvements shared path and future connection onto committed SH1 Papakura to Drury shared path </t>
  </si>
  <si>
    <t>Wide lanes; flush median; some on-street parking; multiple strategic modal priorities</t>
  </si>
  <si>
    <t>Aligns with SH1 Papakura to Drury South shared path</t>
  </si>
  <si>
    <t>Te Atatu Peninsula</t>
  </si>
  <si>
    <t>Te Atatu Rd</t>
  </si>
  <si>
    <t>Connects to existing painted lanes on Te Atatu Rd  (pop-up protection)</t>
  </si>
  <si>
    <t>Lincoln Rd</t>
  </si>
  <si>
    <t>Connects to Lincoln Rd North project</t>
  </si>
  <si>
    <t>Multi-modal conflicts; RTN</t>
  </si>
  <si>
    <t>Medium Priority/Low Proxy value for money  part of Henderson SSBC</t>
  </si>
  <si>
    <t>Te Atatu Rd (south)</t>
  </si>
  <si>
    <t>Proposed T2 lanes; flush median; on-street parking</t>
  </si>
  <si>
    <t>Low Proxy value for money - AT Metro delivering cycle facilities?</t>
  </si>
  <si>
    <t>Network Optimisation SSBC recommending improvements on Te Atatu Rd to Alderman Dr.</t>
  </si>
  <si>
    <t>Church St</t>
  </si>
  <si>
    <t>Connects to new Mangere Bridge</t>
  </si>
  <si>
    <t>Potential funding through Central Govt Package. Eke Panuku investigating cycle connection from Onehunga town centre to the Wharf (alternative to Onehunga Mall Rd connection)</t>
  </si>
  <si>
    <t>Morrin Road</t>
  </si>
  <si>
    <t>Connects to existing off road shared path on College Road and potential connection to committed UCP - Links to GI project</t>
  </si>
  <si>
    <t>Wide lanes; no other modal priorities</t>
  </si>
  <si>
    <t>Part of Brownfields PBC recommended programme for Tāmaki (not the full connection)</t>
  </si>
  <si>
    <t>Hobson Drive; Jellicoe Rd</t>
  </si>
  <si>
    <t xml:space="preserve">Connects to existing painted lanes on Morrin Road  </t>
  </si>
  <si>
    <t>On street parking; wide lanes; no other modal priorities</t>
  </si>
  <si>
    <t>Harris Rd; Springs Rd</t>
  </si>
  <si>
    <t>Papatoetoe</t>
  </si>
  <si>
    <t>Kolmar Road</t>
  </si>
  <si>
    <t>On-street parking; no strategic modal conflicts</t>
  </si>
  <si>
    <t>Oteha Valley Rd (west of SH1); Oteha Valley Rd Extension</t>
  </si>
  <si>
    <t>Connects to off-road shared paths around Albany</t>
  </si>
  <si>
    <t>Reallocation potential - Disjointed cycle facilities with some off road cycle lanes</t>
  </si>
  <si>
    <t>Oteha Valley Rd (east of SH1)</t>
  </si>
  <si>
    <t>Connects to off-road shared path under SH1</t>
  </si>
  <si>
    <t>Primary Arterial; RTN</t>
  </si>
  <si>
    <t>Low Proxy value for money</t>
  </si>
  <si>
    <t>Constellation</t>
  </si>
  <si>
    <t>Constellation Drive</t>
  </si>
  <si>
    <t>Connection to Northern Pathway</t>
  </si>
  <si>
    <t>Primary Arterial; FTN with bus lanes; L2 Freight</t>
  </si>
  <si>
    <t>Sturges Rd</t>
  </si>
  <si>
    <t>Flush median on-street parking; pinchpoint at rail overbridge</t>
  </si>
  <si>
    <t>Henderson Valley Road</t>
  </si>
  <si>
    <t>Connects to existing Opanuku Stream off-road greenway</t>
  </si>
  <si>
    <t>Flush median; narrow in sections; some on-street parking</t>
  </si>
  <si>
    <t>High Priority - deliver with Henderson SSBC if connecting to town centre?</t>
  </si>
  <si>
    <t>Asquith Avenue</t>
  </si>
  <si>
    <t xml:space="preserve">Connection to existing protected lanes on St Lukes Road </t>
  </si>
  <si>
    <t>No on-street parking in sections; one GT in each direction</t>
  </si>
  <si>
    <t>Melvern Rd; New North Rd</t>
  </si>
  <si>
    <t>FTN on NNR but no existing/planned bus lanes; on-street parking and flush median</t>
  </si>
  <si>
    <t>Green Lane East (east of Peach Parade)</t>
  </si>
  <si>
    <t>Connects to off-road cycle facilities on Green Lane East</t>
  </si>
  <si>
    <t>Multiple GT lanes; but busy road and potential pinchpoints</t>
  </si>
  <si>
    <t>Medium Priority/Low Proxy value for money relies on ConCom Remuera Rd</t>
  </si>
  <si>
    <t>Otahuhu</t>
  </si>
  <si>
    <t>Mt Wellington Highway (south of SE Highway off-ramp); Atkinson Avenue</t>
  </si>
  <si>
    <t>Connects to planned ConCom GSR Corridor</t>
  </si>
  <si>
    <t xml:space="preserve">Primary Arterial, FTN and L1 Freight. 4-5 lanes + flush median. Intersection treatments required. Section south of Panama Rd may be able to be reallocated. </t>
  </si>
  <si>
    <t>Atkinson Ave is part of current Safety intersections/corridors programme. Could consider funding alignment to ensure safe cycle provision. Network Optimisation SSBC recommending improvements at Mt Wellington Interchange.</t>
  </si>
  <si>
    <t>Spencer Rd</t>
  </si>
  <si>
    <t>On-road parking</t>
  </si>
  <si>
    <t>Relies on McClymonts Rd</t>
  </si>
  <si>
    <t>Carlisle Rd; Beach Rd; Browns Bay Rd</t>
  </si>
  <si>
    <t xml:space="preserve">Connects to existing painted lanes on East Coast Rd north </t>
  </si>
  <si>
    <t>FTN route with no current plans for bus priority; pinchpoints in sections make reallocation of road space difficult</t>
  </si>
  <si>
    <t>Greville Rd</t>
  </si>
  <si>
    <t>Connects to off-road shared path that will link to Northern Pathway</t>
  </si>
  <si>
    <t>Existing off-road path require intersection treatments</t>
  </si>
  <si>
    <t>May be upgraded as part of Northern Pathway (Albany-Constellation)</t>
  </si>
  <si>
    <t>Rockfield Rd; Oranga Ave; Waitangi Rd; Rawhiti Rd</t>
  </si>
  <si>
    <t>Existing painted lanes on Rockfield Rd</t>
  </si>
  <si>
    <t>Existing painted cycle lanes on Rockfield Rd</t>
  </si>
  <si>
    <t>Part of Brownfields PBC recommended programme for Oranga (not the full connection).</t>
  </si>
  <si>
    <t>Atkin Ave</t>
  </si>
  <si>
    <t>Connects to off-road shared path at Mission Bay</t>
  </si>
  <si>
    <t>Reallocation potential - no other modal priorities but many driveways</t>
  </si>
  <si>
    <t>Kepa Rd; Kohimarama Rd</t>
  </si>
  <si>
    <t>Connects to committed GI2T shared path</t>
  </si>
  <si>
    <t>Multi-modal priorities; future freight link; reallocation potential but intersection treatments</t>
  </si>
  <si>
    <t>Tripoli Road; Queens Rd</t>
  </si>
  <si>
    <t>Missing link between Glen Innes and Panmure (Links to GI and Eastern Busway committed projects). Also part of Brownfields PBC recommended programme for Tāmaki. Consider Te Horeta extension IBC, which could deliver off-road walking and cycling connection.</t>
  </si>
  <si>
    <t>On street parking; wide lanes; FTN but no current/planned bus lanes.</t>
  </si>
  <si>
    <t>High Priority/Proxy value for money - part of Brownfields PBC</t>
  </si>
  <si>
    <t xml:space="preserve">Part of Brownfields PBC recommended programme for Tāmaki </t>
  </si>
  <si>
    <t>Bucklands Beach</t>
  </si>
  <si>
    <t>Sunderlands Rd; Pigeon Mountain Rd; Ara Tai</t>
  </si>
  <si>
    <t>Connects to off-road shared path along coast</t>
  </si>
  <si>
    <t>Bucklands Beach Rd (south)</t>
  </si>
  <si>
    <t>Cascades Rd</t>
  </si>
  <si>
    <t xml:space="preserve">High Priority/Proxy value for money - relies on ConCom Corridor </t>
  </si>
  <si>
    <t>Gray Avenue</t>
  </si>
  <si>
    <t>Connects to existing painted cycle lanes on Portage Road (east) and Station Road  (pop-up protection)</t>
  </si>
  <si>
    <t>On-street parking; no other strategic modal priorities</t>
  </si>
  <si>
    <t>Kenderdine Road</t>
  </si>
  <si>
    <t>Connects to painted lanes on Station Rd and Puhinui Rd</t>
  </si>
  <si>
    <t>High Priority/ok Proxy value for money</t>
  </si>
  <si>
    <t>Russell Road</t>
  </si>
  <si>
    <t>Swallow Drive; Wordsworth Road; Friedlanders Road</t>
  </si>
  <si>
    <t>Coxhead Road</t>
  </si>
  <si>
    <t>On-street parking; wide lanes; no other strategic modal priorities</t>
  </si>
  <si>
    <t>Lake Rd (north)</t>
  </si>
  <si>
    <t>Connects to existing painted lanes (Lake Road improvements project)</t>
  </si>
  <si>
    <t>Brigham Creek Rd missing connections</t>
  </si>
  <si>
    <t>Connects to off-road shared path on Brigham Creek Rd</t>
  </si>
  <si>
    <t>GT and Freight function; pinchpoints at bridges</t>
  </si>
  <si>
    <t>Marina View Drive; Luckens Rd</t>
  </si>
  <si>
    <t>Low Priority</t>
  </si>
  <si>
    <t xml:space="preserve">Kingsland </t>
  </si>
  <si>
    <t>Bond St</t>
  </si>
  <si>
    <t>Connects to NW cycleway</t>
  </si>
  <si>
    <t>Some kerb movement required on NW overbridge</t>
  </si>
  <si>
    <t>Ellerslie</t>
  </si>
  <si>
    <t>Abbotts Way; Ngahue Dr</t>
  </si>
  <si>
    <t>Connects to shared path on College Road</t>
  </si>
  <si>
    <t xml:space="preserve">Grass berm; flush median; some on-street parking. No other modal priorities. </t>
  </si>
  <si>
    <t xml:space="preserve">Clovelly Rd; Bucklands Beach Rd (north); </t>
  </si>
  <si>
    <t>Prioritisation score &lt;10</t>
  </si>
  <si>
    <t>Macleans Rd</t>
  </si>
  <si>
    <t>On-street parking; no strategic modal conflicts; existing off-road shared path</t>
  </si>
  <si>
    <t>Fortunes Road; Butley Dr</t>
  </si>
  <si>
    <t>Connection to planned facility along Pakuranga Rd</t>
  </si>
  <si>
    <t>On-street parking; wide lanes; no strategic modal conflicts</t>
  </si>
  <si>
    <t>Whetstone Rd; Medvale Ave</t>
  </si>
  <si>
    <t>Connects to off-road shared path on Te Irirangi Dr</t>
  </si>
  <si>
    <t>Traffic calming; LTN</t>
  </si>
  <si>
    <t>Robertson Rd</t>
  </si>
  <si>
    <t>Part of Brownfields PBC recommended programme for Māngere.</t>
  </si>
  <si>
    <t>Savill Drive</t>
  </si>
  <si>
    <t>Connects to planned ConCom Massey Rd Corridor</t>
  </si>
  <si>
    <t>Wide lanes; no other strategic modal priorities</t>
  </si>
  <si>
    <t>Low Priority/Proxy value for money</t>
  </si>
  <si>
    <t>Hospital Rd; Swaffield Rd; Coronation Rd</t>
  </si>
  <si>
    <t>Connects to painted cycle lanes on St George St  (pop-up protection)</t>
  </si>
  <si>
    <t xml:space="preserve">Pinch points along Hospital Rd likely to require kerb movements. On-street parking on Swaffield and Coronation could be reallocated. No strategic modal conflicts. </t>
  </si>
  <si>
    <t>Medium Priority/ok Proxy value for money</t>
  </si>
  <si>
    <t>Portage Road (west)</t>
  </si>
  <si>
    <t>Connects to existing painted lanes on Portage Road (east) and Station Road  (pop-up protection)</t>
  </si>
  <si>
    <t>Claude Avenue; Ferndown Avenue; Pah Rd</t>
  </si>
  <si>
    <t>Flush median; on-street parking; pinchpoints in sections; no strategic modal conflicts</t>
  </si>
  <si>
    <t>Tavern Lane; Cambridge Terrace</t>
  </si>
  <si>
    <t>Connects to existing painted lanes on Station Road and Puhinui Rd. Cycle facilities are being considered on Tavern Lane by Eke Panuku as part of the Old Papatoetoe Masterplan.  (pop-up protection)</t>
  </si>
  <si>
    <t>SH20 missing link</t>
  </si>
  <si>
    <t>Connects to committed SH20B Puhinui Rd shared path</t>
  </si>
  <si>
    <t xml:space="preserve">Off-road shared path </t>
  </si>
  <si>
    <t>Potential funding through Central Govt Package. Network Optimisation SSBC recommending Cavendish on-ramp to Puhinui active modes improvements.</t>
  </si>
  <si>
    <t>Manukau Station Rd; Redoubt Rd (west)</t>
  </si>
  <si>
    <t>Connects to painted cycle lanes on Manukau Station Rd  (pop-up protection)</t>
  </si>
  <si>
    <t xml:space="preserve">Strategic PT Network with existing bus lanes; L2 Freight; Primary arterial along Redoubt Rd. Wide grass berm and flush median could be repurposed. </t>
  </si>
  <si>
    <t>Redoubt Rd (east)</t>
  </si>
  <si>
    <t>Primary Arterial; L3 Freight but on-street parking could be reallocated</t>
  </si>
  <si>
    <t>Low Priority/High Proxy value for money</t>
  </si>
  <si>
    <t>Hollyford Dr</t>
  </si>
  <si>
    <t>Strategic PT Network; Primary arterial. Wide grass berm and flush median could be repurposed, but some pinchpoints.</t>
  </si>
  <si>
    <t>Maru Rd; Station Rd; Airfield Rd</t>
  </si>
  <si>
    <t>Connection to planned ConCom GSR Corridor (pop-up protection)</t>
  </si>
  <si>
    <t>On-street parking; but may require structure to cross rail line</t>
  </si>
  <si>
    <t>Hunua Road</t>
  </si>
  <si>
    <t>Opaheke Road; Ponga Rd</t>
  </si>
  <si>
    <t>On-street parking; wide lanes; pinchpoints in sections</t>
  </si>
  <si>
    <t>Great South Road (sth of Beach Rd)</t>
  </si>
  <si>
    <t>On-street parking; wide lanes; multiple strategic modal priorities</t>
  </si>
  <si>
    <t>Matakana Rd</t>
  </si>
  <si>
    <t>Connects to Matakana Link Road</t>
  </si>
  <si>
    <t>Current off-road path to Melwood Dr and berm, however narrow in sections and would require surface works</t>
  </si>
  <si>
    <t>Great North Rd</t>
  </si>
  <si>
    <t xml:space="preserve">Strategic Arterial; L1 Freight; existing off-road shared path for majority of route up to Hudson Road </t>
  </si>
  <si>
    <t>Mansel Dr</t>
  </si>
  <si>
    <t>Portion of land currently greenfield (assume separated facility with road construction)</t>
  </si>
  <si>
    <t>Elizabeth St; Queen St; Neville St; Alnwick St</t>
  </si>
  <si>
    <t>On-street parking through town centre</t>
  </si>
  <si>
    <t>Alnwick St; Pulham Rd; John Andrew Dr; McKinney Rd</t>
  </si>
  <si>
    <t>Whitaker Rd</t>
  </si>
  <si>
    <t>Connects to existing off-road shared path</t>
  </si>
  <si>
    <t>Low demand</t>
  </si>
  <si>
    <t>Brown Rd</t>
  </si>
  <si>
    <t>Strategic Arterial; L1 Freight; existing off-road footpath and bridge pinchpoint</t>
  </si>
  <si>
    <t xml:space="preserve">Auckland Rd </t>
  </si>
  <si>
    <t>Strategic Arterial; L1 Freight; existing off-road footpath on east side</t>
  </si>
  <si>
    <t>Falls Rd; Hill St</t>
  </si>
  <si>
    <t>Evelyn St Extension</t>
  </si>
  <si>
    <t>Woodcocks Rd</t>
  </si>
  <si>
    <t xml:space="preserve">On-street parking; L2 freight </t>
  </si>
  <si>
    <t>Silverdale</t>
  </si>
  <si>
    <t>Wainui Rd</t>
  </si>
  <si>
    <t>New road with narrow painted cycle lanes - pop-up protection programme?</t>
  </si>
  <si>
    <t>Silverdale St</t>
  </si>
  <si>
    <t>Connects to off-road shared path on HCH</t>
  </si>
  <si>
    <t>Hibiscus Coast HW</t>
  </si>
  <si>
    <t>Primary Arterial; L1 Freight; existing off-road footpath</t>
  </si>
  <si>
    <t>McClymonts Rd</t>
  </si>
  <si>
    <t>Pinchpoint on SH1 overbridge</t>
  </si>
  <si>
    <t>Sunset Road</t>
  </si>
  <si>
    <t>Connects to existing painted lanes on Glenfield Rd  (pop-up protection)</t>
  </si>
  <si>
    <t>FTN with no bus lanes planned; on-street parking; flush median</t>
  </si>
  <si>
    <t>Greenhithe</t>
  </si>
  <si>
    <t>Tauhinui Rd</t>
  </si>
  <si>
    <t>Connection to Upper Harbour motorway shared path</t>
  </si>
  <si>
    <t>Porana Road</t>
  </si>
  <si>
    <t>Coronation Road</t>
  </si>
  <si>
    <t>Shakespeare Rd extension</t>
  </si>
  <si>
    <t>Connects to existing painted lanes on Shakespeare Rd (pop-up protection along Taharoto)</t>
  </si>
  <si>
    <t>New connection</t>
  </si>
  <si>
    <t>Relies on Northern Pathway</t>
  </si>
  <si>
    <t>Spedding Rd</t>
  </si>
  <si>
    <t>Narrow road; new greenfield</t>
  </si>
  <si>
    <t>Dunlop Rd (loop)</t>
  </si>
  <si>
    <t>Connects to existing painted lanes on Don Buck Road</t>
  </si>
  <si>
    <t>Fred Taylor Drive (north and south)</t>
  </si>
  <si>
    <t>Connects to existing painted lanes on Fred Taylor Drive (east) and Don Buck Road  (pop-up protection)</t>
  </si>
  <si>
    <t>Wide lanes and berms</t>
  </si>
  <si>
    <t>Mamari Rd</t>
  </si>
  <si>
    <t>Metcalfe Rd</t>
  </si>
  <si>
    <t>Wide lanes; flush median</t>
  </si>
  <si>
    <t>Pleasant Road</t>
  </si>
  <si>
    <t>Blockhouse Bay Rd</t>
  </si>
  <si>
    <t>Potential to reallocate roadspace with some need for kerb movements at pinchpoints</t>
  </si>
  <si>
    <t>Alberton Ave</t>
  </si>
  <si>
    <t>Connects to existing painted lanes on Mt Albert Rd</t>
  </si>
  <si>
    <t>Lunn Ave</t>
  </si>
  <si>
    <t>Connects to planned ConCom EP Highway Corridor</t>
  </si>
  <si>
    <t>Flush median. No other modal priorities.</t>
  </si>
  <si>
    <t>Coronation Rd (gaps)</t>
  </si>
  <si>
    <t>Connects to old Māngere bridge</t>
  </si>
  <si>
    <t>Bus lanes proposed along corridor, which would take current on-street parking, therefore kerb movement likely</t>
  </si>
  <si>
    <t>Part of Māngere town access improvements</t>
  </si>
  <si>
    <t>Rimu Rd</t>
  </si>
  <si>
    <t>Bus only lane approaching NB on-ramp. Kerb movement likely.</t>
  </si>
  <si>
    <t>Rosella Road</t>
  </si>
  <si>
    <t>Mahia Rd extension; Rangi Rd; Popes Rd</t>
  </si>
  <si>
    <t>Requires new off-road facility and structure to cross SH1</t>
  </si>
  <si>
    <t>Cosgrave Rd</t>
  </si>
  <si>
    <t>Some surface treatment needed as single lane in each direction</t>
  </si>
  <si>
    <t>Dominion Rd</t>
  </si>
  <si>
    <t>Some surface treatment needed as single lane in each direction. Potential off-road shared path on east side.</t>
  </si>
  <si>
    <t>Croskery Rd</t>
  </si>
  <si>
    <t xml:space="preserve">Drury </t>
  </si>
  <si>
    <t>Bremner Rd</t>
  </si>
  <si>
    <t>Connection to SH1 P2D shared path (NZUP)</t>
  </si>
  <si>
    <t>Cycle provision as part of road upgrade</t>
  </si>
  <si>
    <t>Jesmond Rd</t>
  </si>
  <si>
    <t>Pukekohe</t>
  </si>
  <si>
    <t>Pukekohe Ring Route</t>
  </si>
  <si>
    <t>Connection to planned NIMT shared path</t>
  </si>
  <si>
    <t>Cycle provision as part of roading project</t>
  </si>
  <si>
    <t>SH1 Albany to Silverdale</t>
  </si>
  <si>
    <t>Connects to Northern Pathway (Albany)</t>
  </si>
  <si>
    <t>Medium Priority/Low Proxy value for money - too expensive for PBC</t>
  </si>
  <si>
    <t>SH1 Akoranga to Constellation</t>
  </si>
  <si>
    <t>Upper Harbour Motorway</t>
  </si>
  <si>
    <t>Upper Harbour Motorway (Hobsonville to Westgate)</t>
  </si>
  <si>
    <t>SH16/North Western</t>
  </si>
  <si>
    <t>Connects to existing NW shared path</t>
  </si>
  <si>
    <t>Glen Eden</t>
  </si>
  <si>
    <t>Awaroa Road</t>
  </si>
  <si>
    <t>Connects to existing Waikumete Stream off-road greenway</t>
  </si>
  <si>
    <t>High Proxy value for money - relies on ConCom GNR Corridor</t>
  </si>
  <si>
    <t>Hepburn Road</t>
  </si>
  <si>
    <t>Possible connection to committed Te Whau Pathway</t>
  </si>
  <si>
    <t>West Coast Road</t>
  </si>
  <si>
    <t>Flush median; pinchpoint at rail overbridge; multiple GT lanes</t>
  </si>
  <si>
    <t>Balmoral Rd; St Lukes Rd</t>
  </si>
  <si>
    <t>Medium Priority/Low Proxy value for money - multi-modal requirement</t>
  </si>
  <si>
    <t>City Centre</t>
  </si>
  <si>
    <t>Fanshawe St</t>
  </si>
  <si>
    <t>Connects to Nelson St and Project WAVE</t>
  </si>
  <si>
    <t>RTN route with bus lanes but multiple lanes to allow reallocation</t>
  </si>
  <si>
    <t xml:space="preserve">Potential funding through Central Govt Package. Existing Fanshawe St Safety project currently excludes cycle facilities. </t>
  </si>
  <si>
    <t>Cook St</t>
  </si>
  <si>
    <t>Connects to Nelson St and Victoria St West</t>
  </si>
  <si>
    <t>Primary arterial with no other modal conflicts; multiple GT lanes</t>
  </si>
  <si>
    <t>High Priority/Proxy value for money - part of A4E</t>
  </si>
  <si>
    <t>Victoria St West (Nelson St to Queen St)</t>
  </si>
  <si>
    <t>Connects to Victoria St West</t>
  </si>
  <si>
    <t>Primary arterial with FTN bus lanes; multiple GT lanes</t>
  </si>
  <si>
    <t xml:space="preserve">Wellesley St East </t>
  </si>
  <si>
    <t>Connects to Grafton Gully Cycleway</t>
  </si>
  <si>
    <t>Primary arterial with RTN bus lanes; pinchpoints in sections</t>
  </si>
  <si>
    <t>Medium Priority/Low Proxy value for money - part of A4E</t>
  </si>
  <si>
    <t>Network Optimisation SSBC recommending improvements on Wellesley St (Princes St to Grafton Rd).</t>
  </si>
  <si>
    <t>Grafton Road</t>
  </si>
  <si>
    <t>Newton Rd</t>
  </si>
  <si>
    <t>Connects to K Road cycleway</t>
  </si>
  <si>
    <t>Primary arterial with RTN; flush median however busy intersection and possible structure to connect to NW Cycleway</t>
  </si>
  <si>
    <t>Owens Road</t>
  </si>
  <si>
    <t>Medium Priority/High Proxy value for money - relies on ConCom Manukau Rd</t>
  </si>
  <si>
    <t>Stokes Rd; Epsom Ave</t>
  </si>
  <si>
    <t>Connects to committed ConCom Mt Eden Corridor</t>
  </si>
  <si>
    <t>High Priority/Proxy value for money - relies on ConCom Corridor</t>
  </si>
  <si>
    <t>Mt St John Avenue</t>
  </si>
  <si>
    <t>Connects to planned ConCom Corridors</t>
  </si>
  <si>
    <t>Market Road</t>
  </si>
  <si>
    <t>Multiple GT lanes; no on-street parking</t>
  </si>
  <si>
    <t>Amy Street; Michaels Ave; Koraha St</t>
  </si>
  <si>
    <t>On street parking; wide lanes; but requires some cut-through provision</t>
  </si>
  <si>
    <t>Medium Priority/High Proxy value for money - relies on ConCom Corridors</t>
  </si>
  <si>
    <t>Penrose Rd</t>
  </si>
  <si>
    <t>FTN but no existing/planned bus lanes; a few pinchpoints (SH1 overbridge) but flush median in sections could allow reallocation.</t>
  </si>
  <si>
    <t>Glenfield</t>
  </si>
  <si>
    <t>Glenfield Rd; Birkenhead Avenue</t>
  </si>
  <si>
    <t>Connects to shared path on Onewa Rd and committed pop-up facilities on Glenfield Rd (north)</t>
  </si>
  <si>
    <t>FTN but no existing/planned bus lanes; flush median/car parking in sections and wide lanes could allow for reallocation.</t>
  </si>
  <si>
    <t>High Priority</t>
  </si>
  <si>
    <t>Cost Estimate ($M) - Route (SSBC-lite)</t>
  </si>
  <si>
    <t>Cost Estimate ($M) - Area SSBC</t>
  </si>
  <si>
    <t>(Multiple Items)</t>
  </si>
  <si>
    <t>connected to existing VZ safe or committed</t>
  </si>
  <si>
    <t>no or limited kerb moving</t>
  </si>
  <si>
    <t>regional, major, connector</t>
  </si>
  <si>
    <t>Row Labels</t>
  </si>
  <si>
    <t>Average of Deliverability Score</t>
  </si>
  <si>
    <t>Average of Prioritisation SCORE</t>
  </si>
  <si>
    <t>Sum of 2028 Demand - Additional daily trips</t>
  </si>
  <si>
    <t>Station Rd; Mason Ave</t>
  </si>
  <si>
    <t>Mt Smart Rd; Station Rd</t>
  </si>
  <si>
    <t>Moire Rd</t>
  </si>
  <si>
    <t>Harris Rd; Springs Rd; Preston Rd; Reagan Rd</t>
  </si>
  <si>
    <t>Beach Road</t>
  </si>
  <si>
    <t>Church St; Onehunga Mall Rd; Princes St</t>
  </si>
  <si>
    <t>Grand Total</t>
  </si>
  <si>
    <t>(All)</t>
  </si>
  <si>
    <t>regional, major, or connector</t>
  </si>
  <si>
    <t>Average of Proxy Value for Money (cycle demand*km / cost)</t>
  </si>
  <si>
    <t>greater than 300 trips per day</t>
  </si>
  <si>
    <t>no or lall delivery options</t>
  </si>
  <si>
    <t>existing or committed connection</t>
  </si>
  <si>
    <t>Sum of Prioritisation SCORE</t>
  </si>
  <si>
    <t>Sum of Prioritised order</t>
  </si>
  <si>
    <t>Sum of Proxy Value for Money (cycle demand*km / cost)</t>
  </si>
  <si>
    <t>Sum of Sensitivity - no complexity</t>
  </si>
  <si>
    <t>Sum of Sensitivity - no connection type</t>
  </si>
  <si>
    <t>Sum of Sensitivity - no connectivity</t>
  </si>
  <si>
    <t>Sum of Sensitivity - no safety</t>
  </si>
  <si>
    <t>Base</t>
  </si>
  <si>
    <t>Ignore connectivity</t>
  </si>
  <si>
    <t>Ignore number of connection type</t>
  </si>
  <si>
    <t>Ignore complexity</t>
  </si>
  <si>
    <t>Ignore safety</t>
  </si>
  <si>
    <t>Value for money</t>
  </si>
  <si>
    <t>Number</t>
  </si>
  <si>
    <r>
      <t>Number</t>
    </r>
    <r>
      <rPr>
        <sz val="10"/>
        <color rgb="FF212121"/>
        <rFont val="Arial"/>
        <family val="2"/>
      </rPr>
      <t xml:space="preserve"> of times in top 25 of sensitivity test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</si>
</sst>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0_-;\-&quot;$&quot;* #,##0.0_-;_-&quot;$&quot;* &quot;-&quot;??_-;_-@_-"/>
    <numFmt numFmtId="166" formatCode="_-&quot;$&quot;* #,##0_-;\-&quot;$&quot;* #,##0_-;_-&quot;$&quot;* &quot;-&quot;??_-;_-@_-"/>
  </numFmts>
  <fonts count="17" x14ac:knownFonts="1">
    <font>
      <sz val="11"/>
      <color theme="1"/>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theme="1"/>
      <name val="Calibri"/>
      <family val="2"/>
      <scheme val="minor"/>
    </font>
    <font>
      <b/>
      <sz val="16"/>
      <color theme="4" tint="-0.499984740745262"/>
      <name val="Calibri"/>
      <family val="2"/>
      <scheme val="minor"/>
    </font>
    <font>
      <b/>
      <sz val="14"/>
      <color theme="4" tint="-0.249977111117893"/>
      <name val="Calibri"/>
      <family val="2"/>
      <scheme val="minor"/>
    </font>
    <font>
      <sz val="8"/>
      <name val="Calibri"/>
      <family val="2"/>
      <scheme val="minor"/>
    </font>
    <font>
      <sz val="11"/>
      <color theme="9"/>
      <name val="Calibri"/>
      <family val="2"/>
      <scheme val="minor"/>
    </font>
    <font>
      <b/>
      <sz val="11"/>
      <color theme="9"/>
      <name val="Calibri"/>
      <family val="2"/>
      <scheme val="minor"/>
    </font>
    <font>
      <sz val="10"/>
      <color rgb="FF212121"/>
      <name val="Arial"/>
    </font>
    <font>
      <b/>
      <sz val="10"/>
      <color rgb="FF212121"/>
      <name val="Arial"/>
    </font>
    <font>
      <b/>
      <sz val="10"/>
      <color rgb="FF212121"/>
      <name val="Arial"/>
      <family val="2"/>
    </font>
    <font>
      <sz val="10"/>
      <color rgb="FF212121"/>
      <name val="Arial"/>
      <family val="2"/>
    </font>
    <font>
      <sz val="11"/>
      <color rgb="FF000000"/>
      <name val="Calibri"/>
    </font>
  </fonts>
  <fills count="14">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4090C0"/>
        <bgColor indexed="64"/>
      </patternFill>
    </fill>
    <fill>
      <patternFill patternType="solid">
        <fgColor rgb="FFD8E8F2"/>
        <bgColor indexed="64"/>
      </patternFill>
    </fill>
    <fill>
      <patternFill patternType="solid">
        <fgColor theme="0" tint="-0.249977111117893"/>
        <bgColor indexed="64"/>
      </patternFill>
    </fill>
    <fill>
      <patternFill patternType="solid">
        <fgColor theme="0" tint="-0.14999847407452621"/>
        <bgColor indexed="64"/>
      </patternFill>
    </fill>
  </fills>
  <borders count="6">
    <border>
      <left/>
      <right/>
      <top/>
      <bottom/>
      <diagonal/>
    </border>
    <border>
      <left style="medium">
        <color rgb="FF4090C0"/>
      </left>
      <right/>
      <top style="medium">
        <color rgb="FF4090C0"/>
      </top>
      <bottom style="medium">
        <color rgb="FF4090C0"/>
      </bottom>
      <diagonal/>
    </border>
    <border>
      <left/>
      <right/>
      <top style="medium">
        <color rgb="FF4090C0"/>
      </top>
      <bottom style="medium">
        <color rgb="FF4090C0"/>
      </bottom>
      <diagonal/>
    </border>
    <border>
      <left/>
      <right style="medium">
        <color rgb="FF4090C0"/>
      </right>
      <top style="medium">
        <color rgb="FF4090C0"/>
      </top>
      <bottom style="medium">
        <color rgb="FF4090C0"/>
      </bottom>
      <diagonal/>
    </border>
    <border>
      <left style="medium">
        <color rgb="FF8CBCD9"/>
      </left>
      <right style="medium">
        <color rgb="FF8CBCD9"/>
      </right>
      <top/>
      <bottom style="medium">
        <color rgb="FF8CBCD9"/>
      </bottom>
      <diagonal/>
    </border>
    <border>
      <left/>
      <right style="medium">
        <color rgb="FF8CBCD9"/>
      </right>
      <top/>
      <bottom style="medium">
        <color rgb="FF8CBCD9"/>
      </bottom>
      <diagonal/>
    </border>
  </borders>
  <cellStyleXfs count="3">
    <xf numFmtId="0" fontId="0" fillId="0" borderId="0"/>
    <xf numFmtId="43" fontId="6" fillId="0" borderId="0" applyFont="0" applyFill="0" applyBorder="0" applyAlignment="0" applyProtection="0"/>
    <xf numFmtId="44" fontId="6" fillId="0" borderId="0" applyFont="0" applyFill="0" applyBorder="0" applyAlignment="0" applyProtection="0"/>
  </cellStyleXfs>
  <cellXfs count="65">
    <xf numFmtId="0" fontId="0" fillId="0" borderId="0" xfId="0"/>
    <xf numFmtId="0" fontId="1" fillId="0" borderId="0" xfId="0" applyFont="1"/>
    <xf numFmtId="0" fontId="1" fillId="0" borderId="0" xfId="0" applyFont="1" applyAlignment="1">
      <alignment horizontal="left"/>
    </xf>
    <xf numFmtId="0" fontId="0" fillId="0" borderId="0" xfId="0" applyAlignment="1">
      <alignment horizontal="left"/>
    </xf>
    <xf numFmtId="0" fontId="3" fillId="0" borderId="0" xfId="0" applyFont="1" applyAlignment="1">
      <alignment horizontal="left" wrapText="1"/>
    </xf>
    <xf numFmtId="0" fontId="4" fillId="0" borderId="0" xfId="0" applyFont="1" applyAlignment="1">
      <alignment horizontal="left"/>
    </xf>
    <xf numFmtId="164" fontId="4" fillId="0" borderId="0" xfId="1" applyNumberFormat="1" applyFont="1" applyFill="1" applyAlignment="1">
      <alignment horizontal="left"/>
    </xf>
    <xf numFmtId="0" fontId="0" fillId="4" borderId="0" xfId="0" applyFill="1" applyAlignment="1">
      <alignment horizontal="left"/>
    </xf>
    <xf numFmtId="0" fontId="0" fillId="5" borderId="0" xfId="0" applyFill="1" applyAlignment="1">
      <alignment horizontal="left"/>
    </xf>
    <xf numFmtId="0" fontId="0" fillId="6" borderId="0" xfId="0" applyFill="1" applyAlignment="1">
      <alignment horizontal="left"/>
    </xf>
    <xf numFmtId="0" fontId="0" fillId="7" borderId="0" xfId="0" applyFill="1" applyAlignment="1">
      <alignment horizontal="left"/>
    </xf>
    <xf numFmtId="0" fontId="0" fillId="8" borderId="0" xfId="0" applyFill="1" applyAlignment="1">
      <alignment horizontal="left"/>
    </xf>
    <xf numFmtId="0" fontId="0" fillId="9" borderId="0" xfId="0" applyFill="1" applyAlignment="1">
      <alignment horizontal="left"/>
    </xf>
    <xf numFmtId="0" fontId="0" fillId="3" borderId="0" xfId="0" applyFill="1" applyAlignment="1">
      <alignment horizontal="right"/>
    </xf>
    <xf numFmtId="0" fontId="0" fillId="0" borderId="0" xfId="0" pivotButton="1"/>
    <xf numFmtId="0" fontId="0" fillId="0" borderId="0" xfId="0" applyAlignment="1">
      <alignment wrapText="1"/>
    </xf>
    <xf numFmtId="0" fontId="7" fillId="0" borderId="0" xfId="0" applyFont="1"/>
    <xf numFmtId="0" fontId="8" fillId="0" borderId="0" xfId="0" applyFont="1"/>
    <xf numFmtId="164" fontId="4" fillId="0" borderId="0" xfId="0" applyNumberFormat="1" applyFont="1" applyAlignment="1">
      <alignment horizontal="left"/>
    </xf>
    <xf numFmtId="0" fontId="5" fillId="0" borderId="0" xfId="0" applyFont="1"/>
    <xf numFmtId="0" fontId="5" fillId="0" borderId="0" xfId="0" applyFont="1" applyAlignment="1">
      <alignment horizontal="left"/>
    </xf>
    <xf numFmtId="0" fontId="0" fillId="2" borderId="0" xfId="0" applyFill="1" applyAlignment="1">
      <alignment horizontal="left"/>
    </xf>
    <xf numFmtId="1" fontId="0" fillId="0" borderId="0" xfId="0" applyNumberFormat="1"/>
    <xf numFmtId="0" fontId="3" fillId="0" borderId="0" xfId="0" applyFont="1"/>
    <xf numFmtId="0" fontId="2" fillId="0" borderId="0" xfId="0" applyFont="1" applyAlignment="1">
      <alignment horizontal="left"/>
    </xf>
    <xf numFmtId="164" fontId="3" fillId="0" borderId="0" xfId="1" applyNumberFormat="1" applyFont="1" applyFill="1" applyAlignment="1">
      <alignment horizontal="left" wrapText="1"/>
    </xf>
    <xf numFmtId="164" fontId="3" fillId="0" borderId="0" xfId="1" applyNumberFormat="1" applyFont="1" applyFill="1" applyAlignment="1">
      <alignment wrapText="1"/>
    </xf>
    <xf numFmtId="166" fontId="3" fillId="0" borderId="0" xfId="2" applyNumberFormat="1" applyFont="1" applyFill="1" applyAlignment="1">
      <alignment wrapText="1"/>
    </xf>
    <xf numFmtId="0" fontId="3" fillId="0" borderId="0" xfId="0" applyFont="1" applyAlignment="1">
      <alignment wrapText="1"/>
    </xf>
    <xf numFmtId="0" fontId="4" fillId="0" borderId="0" xfId="0" applyFont="1" applyAlignment="1">
      <alignment horizontal="left" wrapText="1"/>
    </xf>
    <xf numFmtId="164" fontId="4" fillId="0" borderId="0" xfId="1" applyNumberFormat="1" applyFont="1" applyFill="1" applyAlignment="1">
      <alignment horizontal="left" wrapText="1"/>
    </xf>
    <xf numFmtId="164" fontId="2" fillId="0" borderId="0" xfId="1" applyNumberFormat="1" applyFont="1" applyFill="1" applyAlignment="1">
      <alignment horizontal="left"/>
    </xf>
    <xf numFmtId="165" fontId="3" fillId="0" borderId="0" xfId="2" applyNumberFormat="1" applyFont="1" applyFill="1" applyAlignment="1">
      <alignment wrapText="1"/>
    </xf>
    <xf numFmtId="165" fontId="4" fillId="0" borderId="0" xfId="2" applyNumberFormat="1" applyFont="1" applyFill="1" applyAlignment="1">
      <alignment horizontal="left"/>
    </xf>
    <xf numFmtId="165" fontId="3" fillId="0" borderId="0" xfId="2" applyNumberFormat="1" applyFont="1" applyFill="1" applyAlignment="1">
      <alignment horizontal="left"/>
    </xf>
    <xf numFmtId="165" fontId="2" fillId="0" borderId="0" xfId="2" applyNumberFormat="1" applyFont="1" applyFill="1" applyAlignment="1">
      <alignment horizontal="left"/>
    </xf>
    <xf numFmtId="165" fontId="3" fillId="2" borderId="0" xfId="2" applyNumberFormat="1" applyFont="1" applyFill="1" applyAlignment="1">
      <alignment wrapText="1"/>
    </xf>
    <xf numFmtId="165" fontId="3" fillId="0" borderId="0" xfId="2" applyNumberFormat="1" applyFont="1" applyAlignment="1">
      <alignment wrapText="1"/>
    </xf>
    <xf numFmtId="165" fontId="5" fillId="0" borderId="0" xfId="2" applyNumberFormat="1" applyFont="1" applyFill="1" applyAlignment="1">
      <alignment horizontal="left"/>
    </xf>
    <xf numFmtId="165" fontId="4" fillId="0" borderId="0" xfId="2" applyNumberFormat="1" applyFont="1" applyFill="1" applyAlignment="1">
      <alignment wrapText="1"/>
    </xf>
    <xf numFmtId="164" fontId="4" fillId="0" borderId="0" xfId="0" applyNumberFormat="1" applyFont="1" applyAlignment="1">
      <alignment horizontal="left" wrapText="1"/>
    </xf>
    <xf numFmtId="0" fontId="4" fillId="0" borderId="0" xfId="0" applyFont="1"/>
    <xf numFmtId="0" fontId="4" fillId="0" borderId="0" xfId="0" applyFont="1" applyAlignment="1">
      <alignment wrapText="1"/>
    </xf>
    <xf numFmtId="0" fontId="2" fillId="0" borderId="0" xfId="0" applyFont="1" applyAlignment="1">
      <alignment horizontal="left" wrapText="1"/>
    </xf>
    <xf numFmtId="164" fontId="2" fillId="0" borderId="0" xfId="0" applyNumberFormat="1" applyFont="1" applyAlignment="1">
      <alignment horizontal="left"/>
    </xf>
    <xf numFmtId="164" fontId="2"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Alignment="1">
      <alignment horizontal="left"/>
    </xf>
    <xf numFmtId="164" fontId="10" fillId="0" borderId="0" xfId="1" applyNumberFormat="1" applyFont="1" applyFill="1" applyAlignment="1">
      <alignment horizontal="left"/>
    </xf>
    <xf numFmtId="164" fontId="10" fillId="0" borderId="0" xfId="0" applyNumberFormat="1" applyFont="1" applyAlignment="1">
      <alignment horizontal="left"/>
    </xf>
    <xf numFmtId="165" fontId="10" fillId="0" borderId="0" xfId="2" applyNumberFormat="1" applyFont="1" applyFill="1" applyAlignment="1">
      <alignment horizontal="left"/>
    </xf>
    <xf numFmtId="165" fontId="11" fillId="0" borderId="0" xfId="2" applyNumberFormat="1" applyFont="1" applyFill="1" applyAlignment="1">
      <alignment horizontal="left"/>
    </xf>
    <xf numFmtId="164" fontId="10" fillId="0" borderId="0" xfId="0" applyNumberFormat="1" applyFont="1" applyAlignment="1">
      <alignment horizontal="left" wrapText="1"/>
    </xf>
    <xf numFmtId="164" fontId="4" fillId="0" borderId="0" xfId="1" applyNumberFormat="1" applyFont="1" applyAlignment="1">
      <alignment horizontal="left"/>
    </xf>
    <xf numFmtId="0" fontId="13" fillId="10" borderId="1" xfId="0" applyFont="1" applyFill="1" applyBorder="1" applyAlignment="1">
      <alignment vertical="center" wrapText="1"/>
    </xf>
    <xf numFmtId="0" fontId="13" fillId="10" borderId="2" xfId="0" applyFont="1" applyFill="1" applyBorder="1" applyAlignment="1">
      <alignment vertical="center" wrapText="1"/>
    </xf>
    <xf numFmtId="0" fontId="13" fillId="10" borderId="3" xfId="0" applyFont="1" applyFill="1" applyBorder="1" applyAlignment="1">
      <alignment vertical="center" wrapText="1"/>
    </xf>
    <xf numFmtId="0" fontId="13" fillId="11" borderId="4" xfId="0" applyFont="1" applyFill="1" applyBorder="1" applyAlignment="1">
      <alignment vertical="center" wrapText="1"/>
    </xf>
    <xf numFmtId="0" fontId="13" fillId="0" borderId="4" xfId="0" applyFont="1" applyBorder="1" applyAlignment="1">
      <alignment vertical="center" wrapText="1"/>
    </xf>
    <xf numFmtId="0" fontId="12" fillId="0" borderId="5" xfId="0" applyFont="1" applyBorder="1" applyAlignment="1">
      <alignment vertical="center" wrapText="1"/>
    </xf>
    <xf numFmtId="0" fontId="0" fillId="12" borderId="0" xfId="0" applyFill="1" applyAlignment="1">
      <alignment wrapText="1"/>
    </xf>
    <xf numFmtId="0" fontId="14" fillId="10" borderId="0" xfId="0" applyFont="1" applyFill="1" applyAlignment="1">
      <alignment vertical="center" wrapText="1"/>
    </xf>
    <xf numFmtId="0" fontId="16" fillId="11" borderId="5" xfId="0" applyFont="1" applyFill="1" applyBorder="1" applyAlignment="1">
      <alignment horizontal="right" vertical="center"/>
    </xf>
    <xf numFmtId="0" fontId="16" fillId="0" borderId="5" xfId="0" applyFont="1" applyBorder="1" applyAlignment="1">
      <alignment horizontal="right" vertical="center"/>
    </xf>
    <xf numFmtId="164" fontId="4" fillId="13" borderId="0" xfId="1" applyNumberFormat="1" applyFont="1" applyFill="1" applyAlignment="1">
      <alignment horizontal="left"/>
    </xf>
  </cellXfs>
  <cellStyles count="3">
    <cellStyle name="Comma" xfId="1" builtinId="3"/>
    <cellStyle name="Currency" xfId="2" builtinId="4"/>
    <cellStyle name="Normal" xfId="0" builtinId="0"/>
  </cellStyles>
  <dxfs count="13">
    <dxf>
      <fill>
        <patternFill>
          <bgColor theme="4"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alignment wrapText="1"/>
    </dxf>
    <dxf>
      <alignment wrapText="1"/>
    </dxf>
    <dxf>
      <numFmt numFmtId="1" formatCode="0"/>
    </dxf>
    <dxf>
      <alignment wrapText="1"/>
    </dxf>
    <dxf>
      <alignment wrapText="1"/>
    </dxf>
    <dxf>
      <fill>
        <patternFill patternType="solid">
          <bgColor rgb="FFFFFF00"/>
        </patternFill>
      </fill>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139700</xdr:colOff>
      <xdr:row>5</xdr:row>
      <xdr:rowOff>25400</xdr:rowOff>
    </xdr:from>
    <xdr:to>
      <xdr:col>2</xdr:col>
      <xdr:colOff>1224220</xdr:colOff>
      <xdr:row>15</xdr:row>
      <xdr:rowOff>94721</xdr:rowOff>
    </xdr:to>
    <xdr:pic>
      <xdr:nvPicPr>
        <xdr:cNvPr id="2" name="Picture 1">
          <a:extLst>
            <a:ext uri="{FF2B5EF4-FFF2-40B4-BE49-F238E27FC236}">
              <a16:creationId xmlns:a16="http://schemas.microsoft.com/office/drawing/2014/main" id="{CC99B59B-87DB-48EA-9264-3E5E4CE3B38A}"/>
            </a:ext>
          </a:extLst>
        </xdr:cNvPr>
        <xdr:cNvPicPr>
          <a:picLocks noChangeAspect="1"/>
        </xdr:cNvPicPr>
      </xdr:nvPicPr>
      <xdr:blipFill>
        <a:blip xmlns:r="http://schemas.openxmlformats.org/officeDocument/2006/relationships" r:embed="rId1"/>
        <a:stretch>
          <a:fillRect/>
        </a:stretch>
      </xdr:blipFill>
      <xdr:spPr>
        <a:xfrm>
          <a:off x="3841750" y="946150"/>
          <a:ext cx="1084520" cy="191082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lla Davis (AT)" id="{28EE2E8D-D4E4-47C0-80CA-761D60E524E0}" userId="S::Ella.Davis@at.govt.nz::d6ff2c51-7c54-4a89-958e-bfcaeccee3cb"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erissa Harrison" refreshedDate="44462.599692013886" createdVersion="6" refreshedVersion="6" minRefreshableVersion="3" recordCount="179" xr:uid="{DBB57CBC-B92A-4CB9-BFF5-DACBCF065701}">
  <cacheSource type="worksheet">
    <worksheetSource ref="A1:AG1048576" sheet="INPUTS"/>
  </cacheSource>
  <cacheFields count="28">
    <cacheField name="Ref" numFmtId="0">
      <sharedItems containsString="0" containsBlank="1" containsNumber="1" containsInteger="1" minValue="1" maxValue="175"/>
    </cacheField>
    <cacheField name="Area" numFmtId="0">
      <sharedItems containsBlank="1" count="42">
        <s v="Test (do not delete)"/>
        <s v="Henderson"/>
        <s v="Māngere"/>
        <s v="Manukau "/>
        <s v="Manurewa"/>
        <s v="Ōtāhuhu"/>
        <s v="Avondale"/>
        <s v="New Lynn"/>
        <s v="Westgate"/>
        <s v="Botany"/>
        <s v="Kelston"/>
        <s v="Mt Wellington"/>
        <s v="Onehunga"/>
        <s v="Panmure"/>
        <s v="Takapuna"/>
        <s v="Warkworth"/>
        <s v="Albany "/>
        <s v="Sunnynook"/>
        <s v="Eastern Bays"/>
        <s v="Smales Farm"/>
        <s v="Mt Albert"/>
        <s v="Newmarket"/>
        <s v="Otara"/>
        <s v="East Tamaki"/>
        <s v="Papatoetoe"/>
        <s v="Kingsland "/>
        <s v="Papakura"/>
        <s v="Parnell"/>
        <s v="Te Atatu Peninsula"/>
        <s v="Greenlane"/>
        <s v="Otahuhu"/>
        <s v="Ellerslie"/>
        <s v="Bucklands Beach"/>
        <s v="Constellation"/>
        <s v="Drury "/>
        <s v="Greenhithe"/>
        <s v="Pukekohe"/>
        <s v="Silverdale"/>
        <s v="City Centre"/>
        <s v="Glen Eden"/>
        <s v="St Mary's Bay"/>
        <m/>
      </sharedItems>
    </cacheField>
    <cacheField name="Connection" numFmtId="0">
      <sharedItems containsBlank="1" count="177">
        <s v="Test (do not delete)"/>
        <s v="Rathgar Road"/>
        <s v="Universal Drive"/>
        <s v="Swanson Rd"/>
        <s v="Walmsley Rd; Favona Road"/>
        <s v="James Fletcher Road; Tui Street; Kaka Street"/>
        <s v="Druces Road"/>
        <s v="Roscommon Road"/>
        <s v="Mahia Road"/>
        <s v="Station Rd; Mason Ave"/>
        <s v="High Street; Trenwith Street"/>
        <s v="Rosebank Road"/>
        <s v="Titirangi Road"/>
        <s v="Rata Street"/>
        <s v="Ash Street"/>
        <s v="Hobsonville Rd; Buckley Ave"/>
        <s v="Chapel Road; Ti Rakau Dr"/>
        <s v="Botany Rd"/>
        <s v="Archibald Road"/>
        <s v="Mt Wellington Highway (north of SE Highway off-ramp)"/>
        <s v="Waipuna Road"/>
        <s v="Mt Smart Rd; Station Rd"/>
        <s v="Hendry Ave"/>
        <s v="Pilkington Road; Queens Rd"/>
        <s v="Kitchener Rd; Hurstmere Rd"/>
        <s v="Anzac St"/>
        <s v="Puhoi to Mangawhai shared path"/>
        <s v="East Coast Rd (south of Oteha Valley Rd to Rosedale Rd)"/>
        <s v="Albany Highway; Goldfinch Rise"/>
        <s v="Sunnynook Road"/>
        <s v="Wairau Road"/>
        <s v="St Heliers Bay Rd"/>
        <s v="West Tamaki Rd"/>
        <s v="Tristram Avenue (east)"/>
        <s v="Chivalry Road"/>
        <s v="Sunnybrae Road"/>
        <s v="Henderson Valley Road"/>
        <s v="Edmonton Road"/>
        <s v="Mt Albert Rd"/>
        <s v="Moire Rd"/>
        <s v="Mountain Road"/>
        <s v="Boston Road"/>
        <s v="Bairds Road (north)"/>
        <s v="Bairds Road (south)"/>
        <s v="East Tamaki Rd (west and east)"/>
        <s v="Harris Rd; Springs Rd; Preston Rd; Reagan Rd"/>
        <s v="Mahunga Dr"/>
        <s v="Wylie Road"/>
        <s v="Carruth Rd"/>
        <s v="Lincoln Rd"/>
        <s v="Te Atatu Rd (south)"/>
        <s v="Bond St"/>
        <s v="Walters Rd"/>
        <s v="Porchester Road; Ingram Street; Prictor Street"/>
        <s v="Broadway; Clevedon Road (west of Marne Rd)"/>
        <s v="Clevedon Rd (east of Marne Rd)"/>
        <s v="Marne Rd; Onslow Road; Settlement Road"/>
        <s v="Beach Road"/>
        <s v="Shore Rd"/>
        <s v="Te Atatu Rd"/>
        <s v="Royal Rd (existing)"/>
        <s v="Campbell Road"/>
        <s v="Church St; Onehunga Mall Rd; Princes St"/>
        <s v="Flat Bush Road (east); Dawson Rd"/>
        <s v="Morrin Road"/>
        <s v="Hobson Drive; Jellicoe Rd"/>
        <s v="Kolmar Road"/>
        <s v="Oteha Valley Rd (east of SH1)"/>
        <s v="Green Lane East (east of Peach Parade)"/>
        <s v="Sturges Rd"/>
        <s v="Asquith Avenue"/>
        <s v="Melvern Rd; New North Rd"/>
        <s v="Mt Wellington Highway (south of SE Highway off-ramp); Atkinson Avenue"/>
        <s v="Tripoli Road; Queens Rd"/>
        <s v="Spencer Rd"/>
        <s v="Carlisle Rd; Beach Rd; Browns Bay Rd"/>
        <s v="Greville Rd"/>
        <s v="Atkin Ave"/>
        <s v="Kepa Rd; Kohimarama Rd"/>
        <s v="Abbotts Way; Ngahue Dr"/>
        <s v="Rockfield Rd; Oranga Ave; Waitangi Rd; Rawhiti Rd"/>
        <s v="Gray Avenue"/>
        <s v="Hollyford Dr"/>
        <s v="Russell Road"/>
        <s v="Swallow Drive; Wordsworth Road; Friedlanders Road"/>
        <s v="Kenderdine Road"/>
        <s v="Oteha Valley Rd (west of SH1); Oteha Valley Rd Extension"/>
        <s v="Sunderlands Rd; Pigeon Mountain Rd; Ara Tai"/>
        <s v="Bucklands Beach Rd (south)"/>
        <s v="Constellation Drive"/>
        <s v="Upper Harbour Motorway"/>
        <s v="Metcalfe Rd"/>
        <s v="Robertson Rd"/>
        <s v="SH20 missing link"/>
        <s v="Manukau Station Rd; Redoubt Rd (west)"/>
        <s v="Redoubt Rd (east)"/>
        <s v="Coxhead Road"/>
        <s v="Maru Rd; Station Rd; Airfield Rd"/>
        <s v="Pleasant Road"/>
        <s v="Whetstone Rd; Medvale Ave"/>
        <s v="Hunua Road"/>
        <s v="Opaheke Road; Ponga Rd"/>
        <s v="Great South Road (sth of Beach Rd)"/>
        <s v="Hospital Rd; Swaffield Rd; Coronation Rd"/>
        <s v="Portage Road (west)"/>
        <s v="Claude Avenue; Ferndown Avenue; Pah Rd"/>
        <s v="Tavern Lane; Cambridge Terrace"/>
        <s v="Lake Rd (north)"/>
        <s v="Upper Harbour Motorway (Hobsonville to Westgate)"/>
        <s v="SH16/North Western"/>
        <s v="Brigham Creek Rd missing connections"/>
        <s v="Marina View Drive; Luckens Rd"/>
        <s v="McClymonts Rd"/>
        <s v="Blockhouse Bay Rd"/>
        <s v="Clovelly Rd; Bucklands Beach Rd (north); "/>
        <s v="Macleans Rd"/>
        <s v="Fortunes Road; Butley Dr"/>
        <s v="Sunset Road"/>
        <s v="Bremner Rd"/>
        <s v="Jesmond Rd"/>
        <s v="Lunn Ave"/>
        <s v="Tauhinui Rd"/>
        <s v="Coronation Rd (gaps)"/>
        <s v="Rimu Rd"/>
        <s v="Savill Drive"/>
        <s v="Rosella Road"/>
        <s v="Mahia Rd extension; Rangi Rd; Popes Rd"/>
        <s v="Alberton Ave"/>
        <s v="Cosgrave Rd"/>
        <s v="Dominion Rd"/>
        <s v="Croskery Rd"/>
        <s v="Pukekohe Ring Route"/>
        <s v="Wainui Rd"/>
        <s v="Silverdale St"/>
        <s v="Hibiscus Coast HW"/>
        <s v="Porana Road"/>
        <s v="Coronation Road"/>
        <s v="Shakespeare Rd extension"/>
        <s v="Matakana Rd"/>
        <s v="Great North Rd"/>
        <s v="Mansel Dr"/>
        <s v="Elizabeth St; Queen St; Neville St; Alnwick St"/>
        <s v="Alnwick St; Pulham Rd; John Andrew Dr; McKinney Rd"/>
        <s v="Whitaker Rd"/>
        <s v="Brown Rd"/>
        <s v="Auckland Rd "/>
        <s v="Falls Rd; Hill St"/>
        <s v="Evelyn St Extension"/>
        <s v="Woodcocks Rd"/>
        <s v="Spedding Rd"/>
        <s v="Dunlop Rd (loop)"/>
        <s v="Fred Taylor Drive (north and south)"/>
        <s v="Mamari Rd"/>
        <s v="Cascades Rd"/>
        <s v="Fanshawe St"/>
        <s v="Cook St"/>
        <s v="Victoria St West (Nelson St to Queen St)"/>
        <s v="Wellesley St East "/>
        <s v="Grafton Road"/>
        <s v="Newton Rd"/>
        <s v="SH1 Akoranga to Constellation"/>
        <s v="Amy Street; Michaels Ave; Koraha St"/>
        <s v="Awaroa Road"/>
        <s v="Hepburn Road"/>
        <s v="Balmoral Rd; St Lukes Rd"/>
        <s v="Penrose Rd"/>
        <s v="West Coast Road"/>
        <s v="Owens Road"/>
        <s v="Mt St John Avenue"/>
        <s v="Market Road"/>
        <s v="Stokes Rd; Epsom Ave"/>
        <s v="Brighton Rd"/>
        <s v="SH1 Albany to Silverdale"/>
        <s v="West End Rd; Jervois Rd (west)"/>
        <s v="Curran St; Jervois Rd (east)"/>
        <m/>
        <s v="East Coast Rd (south of Oteha Valley Rd)" u="1"/>
      </sharedItems>
    </cacheField>
    <cacheField name="CAM Classification" numFmtId="0">
      <sharedItems containsBlank="1" count="4">
        <m/>
        <s v="Strategic - Connector"/>
        <s v="Strategic - Major "/>
        <s v="Strategic - Regional "/>
      </sharedItems>
    </cacheField>
    <cacheField name="Length (km)" numFmtId="164">
      <sharedItems containsString="0" containsBlank="1" containsNumber="1" minValue="0.3" maxValue="21"/>
    </cacheField>
    <cacheField name="Connectivity" numFmtId="0">
      <sharedItems containsBlank="1"/>
    </cacheField>
    <cacheField name="Connectivity SCORE" numFmtId="0">
      <sharedItems containsString="0" containsBlank="1" containsNumber="1" containsInteger="1" minValue="0" maxValue="5" count="6">
        <m/>
        <n v="4"/>
        <n v="1"/>
        <n v="5"/>
        <n v="3"/>
        <n v="0"/>
      </sharedItems>
    </cacheField>
    <cacheField name="Comment on Connectivity " numFmtId="0">
      <sharedItems containsBlank="1"/>
    </cacheField>
    <cacheField name="# of Connection Types" numFmtId="0">
      <sharedItems containsString="0" containsBlank="1" containsNumber="1" containsInteger="1" minValue="1" maxValue="4"/>
    </cacheField>
    <cacheField name="# of total Connections SCORE" numFmtId="0">
      <sharedItems containsString="0" containsBlank="1" containsNumber="1" containsInteger="1" minValue="1" maxValue="5"/>
    </cacheField>
    <cacheField name="Potential Deliverability" numFmtId="0">
      <sharedItems containsBlank="1"/>
    </cacheField>
    <cacheField name="High-Level Cost ($M per km)" numFmtId="0">
      <sharedItems containsString="0" containsBlank="1" containsNumber="1" minValue="0.3" maxValue="22"/>
    </cacheField>
    <cacheField name="High Level Total Cost ($M)" numFmtId="164">
      <sharedItems containsString="0" containsBlank="1" containsNumber="1" minValue="0.4" maxValue="264"/>
    </cacheField>
    <cacheField name="Deliverability Score" numFmtId="0">
      <sharedItems containsString="0" containsBlank="1" containsNumber="1" containsInteger="1" minValue="1" maxValue="5" count="5">
        <m/>
        <n v="5"/>
        <n v="3"/>
        <n v="1"/>
        <n v="2"/>
      </sharedItems>
    </cacheField>
    <cacheField name="Comments on Deliverability" numFmtId="0">
      <sharedItems containsBlank="1" longText="1"/>
    </cacheField>
    <cacheField name="Active Road User Corridor Risk (KiwiRAP 2014-2018)" numFmtId="0">
      <sharedItems containsBlank="1"/>
    </cacheField>
    <cacheField name="Safety SCORE" numFmtId="0">
      <sharedItems containsString="0" containsBlank="1" containsNumber="1" containsInteger="1" minValue="1" maxValue="5"/>
    </cacheField>
    <cacheField name="Prioritisation SCORE" numFmtId="164">
      <sharedItems containsString="0" containsBlank="1" containsNumber="1" containsInteger="1" minValue="5" maxValue="20"/>
    </cacheField>
    <cacheField name="2028 Demand - schools and/or RTN" numFmtId="164">
      <sharedItems containsString="0" containsBlank="1" containsNumber="1" minValue="16" maxValue="181.8"/>
    </cacheField>
    <cacheField name="2028 Demand - from ACM" numFmtId="164">
      <sharedItems containsString="0" containsBlank="1" containsNumber="1" containsInteger="1" minValue="25" maxValue="1761"/>
    </cacheField>
    <cacheField name="2028 Demand - Additional daily trips" numFmtId="164">
      <sharedItems containsString="0" containsBlank="1" containsNumber="1" minValue="0" maxValue="1829.1" count="207">
        <m/>
        <n v="303.8"/>
        <n v="174.18"/>
        <n v="474.8"/>
        <n v="469.64"/>
        <n v="277.64"/>
        <n v="583.6"/>
        <n v="735.6"/>
        <n v="449.6"/>
        <n v="151.6"/>
        <n v="69.599999999999994"/>
        <n v="447.1"/>
        <n v="449"/>
        <n v="901"/>
        <n v="939"/>
        <n v="395"/>
        <n v="425"/>
        <n v="800"/>
        <n v="209"/>
        <n v="1445"/>
        <n v="928"/>
        <n v="1269"/>
        <n v="143"/>
        <n v="550.29999999999995"/>
        <n v="255"/>
        <n v="525"/>
        <n v="450.5"/>
        <n v="387.4"/>
        <n v="410.4"/>
        <n v="567.4"/>
        <n v="294"/>
        <n v="66"/>
        <n v="122.2"/>
        <n v="315"/>
        <n v="431"/>
        <n v="1210.5999999999999"/>
        <n v="251"/>
        <n v="747"/>
        <n v="455"/>
        <n v="448.2"/>
        <n v="67.2"/>
        <n v="757.2"/>
        <n v="1161"/>
        <n v="387.64"/>
        <n v="372.2"/>
        <n v="426.2"/>
        <n v="452"/>
        <n v="200"/>
        <n v="583"/>
        <n v="243.35000000000002"/>
        <n v="270.35000000000002"/>
        <n v="207.35000000000002"/>
        <n v="236.35000000000002"/>
        <n v="190.35000000000002"/>
        <n v="187.35000000000002"/>
        <n v="749"/>
        <n v="199"/>
        <n v="310"/>
        <n v="642"/>
        <n v="644"/>
        <n v="242.2"/>
        <n v="306.3"/>
        <n v="312.3"/>
        <n v="452.2"/>
        <n v="760.5"/>
        <n v="72"/>
        <n v="409"/>
        <n v="498.6"/>
        <n v="455.6"/>
        <n v="918.6"/>
        <n v="153.30000000000001"/>
        <n v="299.5"/>
        <n v="407.5"/>
        <n v="211.5"/>
        <n v="282"/>
        <n v="77.2"/>
        <n v="98"/>
        <n v="92.64"/>
        <n v="440.6"/>
        <n v="165.60000000000002"/>
        <n v="228.2"/>
        <n v="262.5"/>
        <n v="148.1"/>
        <n v="233.10000000000002"/>
        <n v="588.1"/>
        <n v="150"/>
        <n v="362.6"/>
        <n v="360.6"/>
        <n v="272.60000000000002"/>
        <n v="245.60000000000002"/>
        <n v="191.35000000000002"/>
        <n v="139.35000000000002"/>
        <n v="362.35"/>
        <n v="170.2"/>
        <n v="202.2"/>
        <n v="276"/>
        <n v="434"/>
        <n v="947"/>
        <n v="230"/>
        <n v="184"/>
        <n v="279.5"/>
        <n v="164.1"/>
        <n v="68.100000000000009"/>
        <n v="154"/>
        <n v="25"/>
        <n v="118.64"/>
        <n v="378.64"/>
        <n v="121.64"/>
        <n v="336.6"/>
        <n v="87.600000000000009"/>
        <n v="195.35000000000002"/>
        <n v="165.35000000000002"/>
        <n v="122.35000000000001"/>
        <n v="42.6"/>
        <n v="880"/>
        <n v="191"/>
        <n v="262"/>
        <n v="447"/>
        <n v="980"/>
        <n v="289"/>
        <n v="1235"/>
        <n v="757"/>
        <n v="563"/>
        <n v="367"/>
        <n v="1829.1"/>
        <n v="206.2"/>
        <n v="288.2"/>
        <n v="141.19999999999999"/>
        <n v="1066.5999999999999"/>
        <n v="849"/>
        <n v="521"/>
        <n v="602"/>
        <n v="265"/>
        <n v="548"/>
        <n v="458"/>
        <n v="463.6"/>
        <n v="1113"/>
        <n v="1221"/>
        <n v="0" u="1"/>
        <n v="185" u="1"/>
        <n v="256" u="1"/>
        <n v="327" u="1"/>
        <n v="343" u="1"/>
        <n v="690" u="1"/>
        <n v="304" u="1"/>
        <n v="806" u="1"/>
        <n v="112" u="1"/>
        <n v="238" u="1"/>
        <n v="1123" u="1"/>
        <n v="175" u="1"/>
        <n v="133" u="1"/>
        <n v="394" u="1"/>
        <n v="844" u="1"/>
        <n v="212" u="1"/>
        <n v="381" u="1"/>
        <n v="368" u="1"/>
        <n v="149" u="1"/>
        <n v="326" u="1"/>
        <n v="637" u="1"/>
        <n v="128" u="1"/>
        <n v="284" u="1"/>
        <n v="979" u="1"/>
        <n v="178" u="1"/>
        <n v="107" u="1"/>
        <n v="165" u="1"/>
        <n v="215" u="1"/>
        <n v="520" u="1"/>
        <n v="202" u="1"/>
        <n v="252" u="1"/>
        <n v="1429" u="1"/>
        <n v="139" u="1"/>
        <n v="377" u="1"/>
        <n v="58" u="1"/>
        <n v="123" u="1"/>
        <n v="406" u="1"/>
        <n v="293" u="1"/>
        <n v="81" u="1"/>
        <n v="176" u="1"/>
        <n v="354" u="1"/>
        <n v="64" u="1"/>
        <n v="114" u="1"/>
        <n v="171" u="1"/>
        <n v="328" u="1"/>
        <n v="570" u="1"/>
        <n v="129" u="1"/>
        <n v="286" u="1"/>
        <n v="912" u="1"/>
        <n v="26" u="1"/>
        <n v="137" u="1"/>
        <n v="122" u="1"/>
        <n v="1761" u="1"/>
        <n v="80" u="1"/>
        <n v="879" u="1"/>
        <n v="105" u="1"/>
        <n v="29" u="1"/>
        <n v="132" u="1"/>
        <n v="421" u="1"/>
        <n v="30" u="1"/>
        <n v="88" u="1"/>
        <n v="295" u="1"/>
        <n v="366" u="1"/>
        <n v="549" u="1"/>
        <n v="833" u="1"/>
        <n v="32" u="1"/>
        <n v="156" u="1"/>
        <n v="411" u="1"/>
        <n v="523" u="1"/>
      </sharedItems>
    </cacheField>
    <cacheField name="Proxy Value for Money (cycle demand*km / cost)" numFmtId="164">
      <sharedItems containsString="0" containsBlank="1" containsNumber="1" minValue="1" maxValue="2000"/>
    </cacheField>
    <cacheField name="Prioritised order" numFmtId="164">
      <sharedItems containsString="0" containsBlank="1" containsNumber="1" containsInteger="1" minValue="1" maxValue="200"/>
    </cacheField>
    <cacheField name="Cost Estimate ($M) - Route (SSBC-lite)" numFmtId="166">
      <sharedItems containsString="0" containsBlank="1" containsNumber="1" minValue="0" maxValue="264"/>
    </cacheField>
    <cacheField name="Cost Estimate ($M) - Area SSBC" numFmtId="166">
      <sharedItems containsString="0" containsBlank="1" containsNumber="1" containsInteger="1" minValue="8" maxValue="20"/>
    </cacheField>
    <cacheField name="Incremental Cost Estimate ($M)" numFmtId="166">
      <sharedItems containsString="0" containsBlank="1" containsNumber="1" minValue="0" maxValue="1862.1000000000004"/>
    </cacheField>
    <cacheField name="Rationale for placement" numFmtId="0">
      <sharedItems containsBlank="1"/>
    </cacheField>
    <cacheField name="Co-delivery opportuniti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9">
  <r>
    <n v="1"/>
    <x v="0"/>
    <x v="0"/>
    <x v="0"/>
    <m/>
    <m/>
    <x v="0"/>
    <m/>
    <m/>
    <m/>
    <m/>
    <m/>
    <m/>
    <x v="0"/>
    <m/>
    <m/>
    <m/>
    <n v="20"/>
    <m/>
    <m/>
    <x v="0"/>
    <n v="2000"/>
    <n v="1"/>
    <n v="0"/>
    <m/>
    <n v="0"/>
    <m/>
    <m/>
  </r>
  <r>
    <n v="55"/>
    <x v="1"/>
    <x v="1"/>
    <x v="1"/>
    <n v="2"/>
    <s v="Yes - Committed"/>
    <x v="1"/>
    <s v="Connects to existing painted cycle lanes on Pomaria Road (connecting to committed Lincoln Rd north project)  (pop-up protection)"/>
    <n v="3"/>
    <n v="5"/>
    <s v="AT network - reallocate road space ($1m/km)"/>
    <n v="1"/>
    <n v="2"/>
    <x v="1"/>
    <s v="On-street parking and flush medians"/>
    <s v="Medium   "/>
    <n v="3"/>
    <n v="17"/>
    <n v="181.8"/>
    <n v="122"/>
    <x v="1"/>
    <n v="303.8"/>
    <n v="5"/>
    <n v="2"/>
    <n v="8"/>
    <n v="10"/>
    <s v="High Priority/Proxy value for money - SSBC in development"/>
    <m/>
  </r>
  <r>
    <n v="56"/>
    <x v="1"/>
    <x v="2"/>
    <x v="2"/>
    <n v="1.8"/>
    <s v="Yes - Committed"/>
    <x v="1"/>
    <s v="Connects to committed Lincoln Rd north project "/>
    <n v="3"/>
    <n v="5"/>
    <s v="AT network - reallocate road space ($1m/km)"/>
    <n v="1"/>
    <n v="1.8"/>
    <x v="1"/>
    <s v="On-street parking and flush medians"/>
    <s v="Medium   "/>
    <n v="3"/>
    <n v="17"/>
    <n v="18.180000000000003"/>
    <n v="156"/>
    <x v="2"/>
    <n v="174.18"/>
    <n v="5"/>
    <n v="1.8"/>
    <m/>
    <n v="11.8"/>
    <s v="High Priority/Proxy value for money - SSBC in development"/>
    <m/>
  </r>
  <r>
    <n v="57"/>
    <x v="1"/>
    <x v="3"/>
    <x v="2"/>
    <n v="2.2999999999999998"/>
    <s v="Yes - Planned"/>
    <x v="2"/>
    <s v="Connects to planned ConCom GNR Corridor"/>
    <n v="3"/>
    <n v="5"/>
    <s v="AT network - mid-range ($5m/km)"/>
    <n v="5"/>
    <n v="11.5"/>
    <x v="2"/>
    <s v="FTN but not existing/planned bus lanes; multiple GT lanes and flush median"/>
    <s v="Medium   "/>
    <n v="3"/>
    <n v="12"/>
    <n v="181.8"/>
    <n v="293"/>
    <x v="3"/>
    <n v="94.96"/>
    <n v="5"/>
    <n v="11.5"/>
    <m/>
    <n v="23.3"/>
    <s v="SSBC in development (section east of Rathgar Rd critical link to RTN)"/>
    <m/>
  </r>
  <r>
    <n v="135"/>
    <x v="2"/>
    <x v="4"/>
    <x v="3"/>
    <n v="2.8"/>
    <s v="Yes - Committed"/>
    <x v="1"/>
    <s v="Connects to Māngere Access Improvements project"/>
    <n v="2"/>
    <n v="3"/>
    <s v="AT network - mid-range ($5m/km)"/>
    <n v="4"/>
    <n v="11.2"/>
    <x v="2"/>
    <s v="Multiple GT lanes; flush median; no other strategic modal priorities"/>
    <s v="Medium   "/>
    <n v="3"/>
    <n v="13"/>
    <n v="92.64"/>
    <n v="377"/>
    <x v="4"/>
    <n v="117.41000000000001"/>
    <n v="5"/>
    <n v="11.2"/>
    <n v="20"/>
    <n v="54.5"/>
    <s v="High Priority/Proxy value for money - SSBC in development"/>
    <s v="Potential funding through Central Govt Package. Part of Brownfields PBC recommended programme for Māngere."/>
  </r>
  <r>
    <n v="137"/>
    <x v="2"/>
    <x v="5"/>
    <x v="3"/>
    <n v="1.5"/>
    <s v="Yes - Existing (Protected - safe)"/>
    <x v="3"/>
    <s v="Connects to existing off-road shared path on Walmsley Rd"/>
    <n v="2"/>
    <n v="3"/>
    <s v="AT network - reallocate road space ($1m/km)"/>
    <n v="2"/>
    <n v="3"/>
    <x v="1"/>
    <s v="Flush median; no other strategic modal priorities"/>
    <s v="Medium   "/>
    <n v="3"/>
    <n v="16"/>
    <n v="92.64"/>
    <n v="185"/>
    <x v="5"/>
    <n v="138.82"/>
    <n v="5"/>
    <n v="3"/>
    <m/>
    <n v="57.5"/>
    <s v="High Priority/Proxy value for money - SSBC in development"/>
    <s v="Potential funding through Central Govt Package. Part of Brownfields PBC recommended programme for Māngere."/>
  </r>
  <r>
    <n v="154"/>
    <x v="3"/>
    <x v="6"/>
    <x v="2"/>
    <n v="1.6"/>
    <s v="Yes - Committed"/>
    <x v="1"/>
    <s v="Connects to existing painted lanes on Brown Road  (pop-up protection)"/>
    <n v="3"/>
    <n v="5"/>
    <s v="AT network - mid-range ($5m/km)"/>
    <n v="5"/>
    <n v="8"/>
    <x v="2"/>
    <s v="On-street parking; wide grass median; no other strategic modal priorities"/>
    <s v="Low Medium"/>
    <n v="2"/>
    <n v="14"/>
    <n v="34.6"/>
    <n v="549"/>
    <x v="6"/>
    <n v="116.72000000000001"/>
    <n v="5"/>
    <n v="8"/>
    <n v="20"/>
    <n v="85.5"/>
    <s v="High Priority/Proxy value for money - SSBC in development"/>
    <m/>
  </r>
  <r>
    <n v="153"/>
    <x v="4"/>
    <x v="7"/>
    <x v="2"/>
    <n v="3.8"/>
    <s v="Yes - Committed"/>
    <x v="1"/>
    <s v="Connects to existing painted lanes on Brown Road  (pop-up protection)"/>
    <n v="3"/>
    <n v="5"/>
    <s v="AT network - reallocate road space ($1m/km)"/>
    <n v="2"/>
    <n v="7.6"/>
    <x v="1"/>
    <s v="On-street parking; wide grass median; no other strategic modal priorities"/>
    <s v="Low Medium"/>
    <n v="2"/>
    <n v="16"/>
    <n v="165.60000000000002"/>
    <n v="570"/>
    <x v="7"/>
    <n v="367.8"/>
    <n v="10"/>
    <n v="7.6"/>
    <m/>
    <n v="93.1"/>
    <s v="High Priority/Proxy value for money"/>
    <m/>
  </r>
  <r>
    <n v="158"/>
    <x v="4"/>
    <x v="8"/>
    <x v="2"/>
    <n v="3.6"/>
    <s v="Yes - Committed"/>
    <x v="1"/>
    <s v="Connects to existing painted lanes on Weymouth Road (pop up protection)"/>
    <n v="2"/>
    <n v="3"/>
    <s v="AT network - reallocate road space ($1m/km)"/>
    <n v="2"/>
    <n v="7.2"/>
    <x v="1"/>
    <s v="On-street parking; flush median; no other strategic modal priorities"/>
    <s v="Medium   "/>
    <n v="3"/>
    <n v="15"/>
    <n v="165.60000000000002"/>
    <n v="284"/>
    <x v="8"/>
    <n v="224.8"/>
    <n v="10"/>
    <n v="7.2"/>
    <m/>
    <n v="100.3"/>
    <s v="High Priority/Proxy value for money"/>
    <m/>
  </r>
  <r>
    <n v="116"/>
    <x v="5"/>
    <x v="9"/>
    <x v="3"/>
    <n v="1.1000000000000001"/>
    <s v="Yes - Existing (Protected - safe)"/>
    <x v="3"/>
    <s v="Connects to existing off-road shared path on Walmsley Rd"/>
    <n v="3"/>
    <n v="5"/>
    <s v="AT network - mid-range ($5m/km)"/>
    <n v="5"/>
    <n v="5.5"/>
    <x v="2"/>
    <s v="On-street parking. FTN but no planned/committed bus lanes. "/>
    <s v="Medium   "/>
    <n v="3"/>
    <n v="16"/>
    <n v="39.6"/>
    <n v="112"/>
    <x v="9"/>
    <n v="30.320000000000004"/>
    <n v="10"/>
    <n v="5.5"/>
    <m/>
    <n v="105.8"/>
    <s v="High Priority/Low Proxy value for money - missing link to RTN (requires section of GSR)"/>
    <s v="Potential funding through Central Govt Package"/>
  </r>
  <r>
    <n v="117"/>
    <x v="5"/>
    <x v="10"/>
    <x v="2"/>
    <n v="1"/>
    <s v="Yes - Existing (Protected - safe)"/>
    <x v="3"/>
    <s v="Connects to existing off-road shared path along Highbrook Drive"/>
    <n v="3"/>
    <n v="5"/>
    <s v="AT network - reallocate road space ($1m/km)"/>
    <n v="1"/>
    <n v="1"/>
    <x v="1"/>
    <s v="On-street parking"/>
    <s v="Low Medium"/>
    <n v="2"/>
    <n v="17"/>
    <n v="39.6"/>
    <n v="30"/>
    <x v="10"/>
    <n v="69.599999999999994"/>
    <n v="10"/>
    <n v="1"/>
    <m/>
    <n v="106.8"/>
    <s v="High Priority/Low Proxy value for money - missing link to existing network"/>
    <m/>
  </r>
  <r>
    <n v="71"/>
    <x v="6"/>
    <x v="11"/>
    <x v="2"/>
    <n v="4"/>
    <s v="Yes - Existing (Protected - safe)"/>
    <x v="3"/>
    <s v="Connects to NW shared path and Waterview shared path"/>
    <n v="2"/>
    <n v="3"/>
    <s v="AT network - reallocate road space ($1m/km)"/>
    <n v="3"/>
    <n v="12"/>
    <x v="1"/>
    <s v="FTN and L1A Freight; could possibly remove flush median"/>
    <s v="Medium   "/>
    <n v="3"/>
    <n v="16"/>
    <n v="36.1"/>
    <n v="411"/>
    <x v="11"/>
    <n v="149.03333333333333"/>
    <n v="15"/>
    <n v="12"/>
    <m/>
    <n v="118.8"/>
    <s v="High Priority/Proxy value for money"/>
    <m/>
  </r>
  <r>
    <n v="68"/>
    <x v="7"/>
    <x v="12"/>
    <x v="2"/>
    <n v="2"/>
    <s v="Yes - Planned"/>
    <x v="2"/>
    <s v="Connects to planned ConCom GNR Corridor"/>
    <n v="3"/>
    <n v="5"/>
    <s v="AT network - mid-range ($5m/km)"/>
    <n v="5"/>
    <n v="10"/>
    <x v="2"/>
    <s v="Multiple GT lanes; flush median; pinchpoints and numerous intersections"/>
    <s v="Medium   "/>
    <n v="3"/>
    <n v="12"/>
    <n v="95"/>
    <n v="354"/>
    <x v="12"/>
    <n v="89.8"/>
    <n v="15"/>
    <n v="10"/>
    <n v="20"/>
    <n v="148.80000000000001"/>
    <s v="Low Proxy value for money but ties in with Ash/Rata Street and connects to existing "/>
    <m/>
  </r>
  <r>
    <n v="69"/>
    <x v="7"/>
    <x v="13"/>
    <x v="2"/>
    <n v="1.2"/>
    <s v="Yes - Committed"/>
    <x v="1"/>
    <s v="Connects to planned ConCom GNR Corridor. Possible connection to New Lynn to Avondale shared path. "/>
    <n v="3"/>
    <n v="5"/>
    <s v="AT network - reallocate road space ($1m/km)"/>
    <n v="2"/>
    <n v="2.4"/>
    <x v="1"/>
    <s v="Wide median; multiple GT lanes"/>
    <s v="Medium   "/>
    <n v="3"/>
    <n v="17"/>
    <n v="95"/>
    <n v="806"/>
    <x v="13"/>
    <n v="450.50000000000006"/>
    <n v="15"/>
    <n v="2.4"/>
    <m/>
    <n v="151.20000000000002"/>
    <s v="High Priority/Proxy value for money"/>
    <s v="Part of current Safety intersections/corridors programme. Could consider funding alignment to ensure safe cycle provision."/>
  </r>
  <r>
    <n v="70"/>
    <x v="7"/>
    <x v="14"/>
    <x v="2"/>
    <n v="1.2"/>
    <s v="Yes - Committed"/>
    <x v="1"/>
    <s v="Connects to planned ConCom GNR Corridor. Possible connection to Oakley Creek shared path. "/>
    <n v="3"/>
    <n v="5"/>
    <s v="AT network - reallocate road space ($1m/km)"/>
    <n v="2"/>
    <n v="2.4"/>
    <x v="1"/>
    <s v="Wide median; multiple GT lanes"/>
    <s v="Medium High"/>
    <n v="4"/>
    <n v="18"/>
    <n v="95"/>
    <n v="844"/>
    <x v="14"/>
    <n v="469.5"/>
    <n v="15"/>
    <n v="2.4"/>
    <m/>
    <n v="153.60000000000002"/>
    <s v="High Priority/Proxy value for money"/>
    <s v="Part of current Safety intersections/corridors programme. Could consider funding alignment to ensure safe cycle provision."/>
  </r>
  <r>
    <n v="44"/>
    <x v="8"/>
    <x v="15"/>
    <x v="2"/>
    <n v="5"/>
    <s v="Yes - Existing (Protected - safe)"/>
    <x v="3"/>
    <s v="Connects to painted lanes"/>
    <n v="3"/>
    <n v="5"/>
    <s v="AT network - reallocate road space ($1m/km)"/>
    <n v="1"/>
    <n v="5"/>
    <x v="1"/>
    <s v="Flush median; on-street parking; no current/committed bus plans despite FTN"/>
    <s v="Medium   "/>
    <n v="3"/>
    <n v="18"/>
    <m/>
    <n v="395"/>
    <x v="15"/>
    <n v="395"/>
    <n v="15"/>
    <n v="5"/>
    <m/>
    <n v="158.60000000000002"/>
    <s v="High Priority/Proxy value for money"/>
    <s v="Supporting Growth alignment"/>
  </r>
  <r>
    <n v="125"/>
    <x v="9"/>
    <x v="16"/>
    <x v="2"/>
    <n v="2.8"/>
    <s v="Yes - Existing (Protected - safe)"/>
    <x v="3"/>
    <s v="Connects to off-road shared path through Lloyd Elsmore Park"/>
    <n v="3"/>
    <n v="5"/>
    <s v="AT network - reallocate road space ($1m/km)"/>
    <n v="1"/>
    <n v="2.8"/>
    <x v="1"/>
    <s v="Multiple GT lanes; wide berm; no other strategic modal priorities"/>
    <s v="Medium   "/>
    <n v="3"/>
    <n v="18"/>
    <m/>
    <n v="425"/>
    <x v="16"/>
    <n v="425"/>
    <n v="20"/>
    <n v="2.8"/>
    <m/>
    <n v="161.40000000000003"/>
    <s v="High Priority/Proxy value for money"/>
    <m/>
  </r>
  <r>
    <n v="124"/>
    <x v="9"/>
    <x v="17"/>
    <x v="1"/>
    <n v="3.4"/>
    <s v="Yes - Existing (Protected - safe)"/>
    <x v="3"/>
    <s v="Connects to off-road shared path through Lloyd Elsmore Park"/>
    <n v="2"/>
    <n v="3"/>
    <s v="AT network - reallocate road space ($1m/km)"/>
    <n v="1"/>
    <n v="3.4"/>
    <x v="1"/>
    <s v="Flush median; on-street parking; no other stratgeic modal priorities"/>
    <s v="Low Medium"/>
    <n v="2"/>
    <n v="15"/>
    <m/>
    <n v="800"/>
    <x v="17"/>
    <n v="800"/>
    <n v="20"/>
    <n v="3.4"/>
    <m/>
    <n v="164.80000000000004"/>
    <s v="High Priority/Proxy value for money"/>
    <m/>
  </r>
  <r>
    <n v="65"/>
    <x v="10"/>
    <x v="18"/>
    <x v="1"/>
    <n v="1.5"/>
    <s v="Yes - Planned"/>
    <x v="2"/>
    <s v="Connects to planned ConCom GNR Corridor"/>
    <n v="3"/>
    <n v="5"/>
    <s v="AT network - reallocate road space ($1m/km)"/>
    <n v="1"/>
    <n v="1.5"/>
    <x v="1"/>
    <s v="On-street parking"/>
    <s v="Low Medium"/>
    <n v="2"/>
    <n v="13"/>
    <n v="95"/>
    <n v="114"/>
    <x v="18"/>
    <n v="209"/>
    <n v="20"/>
    <n v="1.5"/>
    <m/>
    <n v="166.30000000000004"/>
    <s v="High Proxy value for money - part of New Lynn Area SSBC"/>
    <m/>
  </r>
  <r>
    <n v="112"/>
    <x v="11"/>
    <x v="19"/>
    <x v="3"/>
    <n v="2.2000000000000002"/>
    <s v="Yes - Committed"/>
    <x v="1"/>
    <s v="Connects to committed Eastern Busway cycle facility"/>
    <n v="3"/>
    <n v="5"/>
    <s v="Waka Kotahi network - off-road ($20m/km)"/>
    <n v="20"/>
    <n v="44"/>
    <x v="3"/>
    <s v="Primary Arterial, FTN and L3 Freight. 4-5 lanes + flush median. Existing off-road shared path - intermittent provision. Intersection treatments required."/>
    <s v="Medium   "/>
    <n v="3"/>
    <n v="13"/>
    <n v="16"/>
    <n v="1429"/>
    <x v="19"/>
    <n v="72.250000000000014"/>
    <n v="20"/>
    <m/>
    <n v="18"/>
    <n v="184.30000000000004"/>
    <s v="Medium Priority/Low Proxy value for money - key missing link south of Te Horeta Rd"/>
    <s v="Potential funding through Central Govt Package. Network Optimisation SSBC recommending improvements at Mt Wellington Interchange."/>
  </r>
  <r>
    <n v="114"/>
    <x v="11"/>
    <x v="20"/>
    <x v="2"/>
    <n v="1.9"/>
    <s v="Yes - Committed"/>
    <x v="1"/>
    <s v="Connects to committed Eastern Busway cycle facility"/>
    <n v="3"/>
    <n v="5"/>
    <s v="AT network - reallocate road space ($1m/km)"/>
    <n v="1"/>
    <n v="1.9"/>
    <x v="1"/>
    <s v="4-5 GT lanes; ability to reallocate space given not on Strategic PT or freight networks"/>
    <s v="Low Medium"/>
    <n v="2"/>
    <n v="16"/>
    <n v="16"/>
    <n v="912"/>
    <x v="20"/>
    <n v="928"/>
    <n v="20"/>
    <n v="1.9"/>
    <m/>
    <n v="186.20000000000005"/>
    <s v="High Priority/Proxy value for money - deliver with Mt Wellington Highway"/>
    <m/>
  </r>
  <r>
    <n v="98"/>
    <x v="12"/>
    <x v="21"/>
    <x v="3"/>
    <n v="4.2"/>
    <s v="Yes - Committed"/>
    <x v="1"/>
    <s v="Connects to committed ConCom corridors"/>
    <n v="2"/>
    <n v="3"/>
    <s v="AT network - reallocate road space ($1m/km)"/>
    <n v="2"/>
    <n v="8.4"/>
    <x v="1"/>
    <s v="FTN but no existing/planned bus lanes; multiple intersections; heavy traffic/freight "/>
    <s v="Medium High"/>
    <n v="4"/>
    <n v="16"/>
    <m/>
    <n v="1269"/>
    <x v="21"/>
    <n v="634.5"/>
    <n v="20"/>
    <n v="8.4"/>
    <m/>
    <n v="194.60000000000005"/>
    <s v="High Priority/Proxy value for money - Mt Smart Rd from Manukau Rd to Onehunga Mall Rd (&amp; Onehunga Mall Rd)"/>
    <s v="Mt Smart Rd (west of Onehunga Mall Rd) potential funding through Central Govt Package. West of May's Road part of Brownfields PBC recommended programme for Oranga (not the full connection)."/>
  </r>
  <r>
    <n v="100"/>
    <x v="12"/>
    <x v="22"/>
    <x v="3"/>
    <n v="1"/>
    <s v="Yes - Existing (Protected - safe)"/>
    <x v="3"/>
    <s v="Connects to existing SW shared path"/>
    <n v="2"/>
    <n v="3"/>
    <s v="AT network - reallocate road space ($1m/km)"/>
    <n v="2"/>
    <n v="2"/>
    <x v="1"/>
    <s v="Space to provide protected facility on berm"/>
    <s v="Medium   "/>
    <n v="3"/>
    <n v="16"/>
    <m/>
    <n v="143"/>
    <x v="22"/>
    <n v="71.5"/>
    <n v="20"/>
    <n v="2"/>
    <m/>
    <n v="196.60000000000005"/>
    <s v="High Priority/Low Proxy value for money"/>
    <s v="Potential funding through Central Govt Package. Network Optimisation SSBC recommending SW Cycleway improvements on Hendry Drive."/>
  </r>
  <r>
    <n v="110"/>
    <x v="13"/>
    <x v="23"/>
    <x v="3"/>
    <n v="1.9"/>
    <s v="Yes - Committed"/>
    <x v="1"/>
    <s v="Missing link between Glen Innes and Panmure (Links to GI and Eastern Busway committed projects). "/>
    <n v="3"/>
    <n v="5"/>
    <s v="AT network - mid-range ($5m/km)"/>
    <n v="5"/>
    <n v="9.5"/>
    <x v="2"/>
    <s v="Flush median (north); on-street parking (south); no other strategic modal priorities"/>
    <s v="Medium   "/>
    <n v="3"/>
    <n v="15"/>
    <n v="30.3"/>
    <n v="520"/>
    <x v="23"/>
    <n v="110.05999999999999"/>
    <n v="20"/>
    <n v="9.5"/>
    <m/>
    <n v="206.10000000000005"/>
    <s v="High Priority/Proxy value for money - key missing link "/>
    <s v="Potential funding through Central Govt Package. Not identified in Brownfields PBC recommended programme for Tāmaki as Te Horeta extention is assumed. Consider Te Horeta extension IBC, which could deliver off-road walking and cycling connection.  "/>
  </r>
  <r>
    <n v="39"/>
    <x v="14"/>
    <x v="24"/>
    <x v="2"/>
    <n v="2.2000000000000002"/>
    <s v="Yes - Existing (Protected - safe)"/>
    <x v="3"/>
    <s v="Connects to existing shared path on Shakespeare Rd"/>
    <n v="3"/>
    <n v="5"/>
    <s v="AT network - reallocate road space ($1m/km)"/>
    <n v="1"/>
    <n v="2.2000000000000002"/>
    <x v="1"/>
    <s v="FTN route but no existing/planned bus lanes; on-street parking"/>
    <s v="Medium High"/>
    <n v="4"/>
    <n v="19"/>
    <m/>
    <n v="255"/>
    <x v="24"/>
    <n v="254.99999999999997"/>
    <n v="20"/>
    <n v="2.2000000000000002"/>
    <m/>
    <n v="208.30000000000004"/>
    <s v="High Priority/Proxy value for money"/>
    <m/>
  </r>
  <r>
    <n v="40"/>
    <x v="14"/>
    <x v="25"/>
    <x v="1"/>
    <n v="1.1000000000000001"/>
    <s v="Yes - Committed"/>
    <x v="1"/>
    <s v="Connects to existing painted lanes (pop-up protection) "/>
    <n v="3"/>
    <n v="5"/>
    <s v="AT network - mid-range ($5m/km)"/>
    <n v="5"/>
    <n v="5.5"/>
    <x v="2"/>
    <s v="FTN route but no existing/planned bus lanes; on-street parking but pinchpoints"/>
    <s v="Medium   "/>
    <n v="3"/>
    <n v="15"/>
    <m/>
    <n v="525"/>
    <x v="25"/>
    <n v="105"/>
    <n v="20"/>
    <n v="5.5"/>
    <m/>
    <n v="213.80000000000004"/>
    <s v="High Proxy value for money"/>
    <m/>
  </r>
  <r>
    <n v="2"/>
    <x v="15"/>
    <x v="26"/>
    <x v="2"/>
    <n v="21"/>
    <s v="Yes - Existing (Protected - safe)"/>
    <x v="3"/>
    <s v="Connects to existing facilities in Matakana and Matakana Link Road"/>
    <n v="3"/>
    <n v="5"/>
    <s v="AT network - reallocate road space ($1m/km)"/>
    <n v="0.3"/>
    <n v="6.3"/>
    <x v="1"/>
    <s v="Combination of on-road and off-road treatment. Costs estimates completed."/>
    <s v="Low Medium"/>
    <n v="2"/>
    <n v="17"/>
    <m/>
    <m/>
    <x v="0"/>
    <n v="66.666666666666671"/>
    <n v="20"/>
    <n v="6.3"/>
    <m/>
    <n v="220.10000000000005"/>
    <s v="Low cost relative to opportunity - future-proofing"/>
    <m/>
  </r>
  <r>
    <n v="20"/>
    <x v="16"/>
    <x v="27"/>
    <x v="2"/>
    <n v="3"/>
    <s v="Yes - Committed"/>
    <x v="1"/>
    <s v="Connects to existing painted lanes on East Coast Rd north (pop-up protection)"/>
    <n v="3"/>
    <n v="5"/>
    <s v="AT network - reallocate road space ($1m/km)"/>
    <n v="3"/>
    <n v="9"/>
    <x v="1"/>
    <s v="Wide flush median; narrow in sections; additional car parking along sections"/>
    <s v="Low Medium"/>
    <n v="2"/>
    <n v="16"/>
    <n v="123.5"/>
    <n v="327"/>
    <x v="26"/>
    <n v="150.16666666666666"/>
    <n v="25"/>
    <n v="9"/>
    <m/>
    <n v="229.10000000000005"/>
    <s v="High Priority/Proxy value for money"/>
    <m/>
  </r>
  <r>
    <n v="28"/>
    <x v="17"/>
    <x v="28"/>
    <x v="2"/>
    <n v="2"/>
    <s v="Yes - Committed"/>
    <x v="1"/>
    <s v="Connection to Upper Harbour HW"/>
    <n v="2"/>
    <n v="3"/>
    <s v="AT network - mid-range ($5m/km)"/>
    <n v="5"/>
    <n v="10"/>
    <x v="2"/>
    <s v="Primary Arterial; FTN; L2 Freight"/>
    <s v="Low Medium"/>
    <n v="2"/>
    <n v="12"/>
    <n v="44.400000000000006"/>
    <n v="343"/>
    <x v="27"/>
    <n v="77.47999999999999"/>
    <n v="25"/>
    <n v="10"/>
    <m/>
    <n v="239.10000000000005"/>
    <s v="Low Priority/Proxy value for money but missing link"/>
    <m/>
  </r>
  <r>
    <n v="31"/>
    <x v="17"/>
    <x v="29"/>
    <x v="2"/>
    <n v="1.5"/>
    <s v="Yes - Existing (Protected - safe)"/>
    <x v="3"/>
    <s v="Connects to existing shared path on East Coast Rd"/>
    <n v="3"/>
    <n v="5"/>
    <s v="AT network - mid-range ($5m/km)"/>
    <n v="5"/>
    <n v="7.5"/>
    <x v="2"/>
    <s v="Wide lanes/flush median in parts; narrow in sections; pinchpoint at SH1 overbridge "/>
    <s v="Medium   "/>
    <n v="3"/>
    <n v="16"/>
    <n v="44.400000000000006"/>
    <n v="366"/>
    <x v="28"/>
    <n v="82.079999999999984"/>
    <n v="25"/>
    <n v="7.5"/>
    <m/>
    <n v="246.60000000000005"/>
    <s v="Low Priority/Proxy value for money but missing link"/>
    <m/>
  </r>
  <r>
    <n v="32"/>
    <x v="17"/>
    <x v="30"/>
    <x v="2"/>
    <n v="2"/>
    <s v="Yes - Committed"/>
    <x v="1"/>
    <s v="Connects to existing painted lanes on Glenfield Road  (pop-up protection)"/>
    <n v="2"/>
    <n v="3"/>
    <s v="AT network - mid-range ($5m/km)"/>
    <n v="5"/>
    <n v="10"/>
    <x v="2"/>
    <s v="Primary Arterial; L1A Freight; but flush median; turning lanes; parking could allow reallocation "/>
    <s v="Medium   "/>
    <n v="3"/>
    <n v="13"/>
    <n v="44.400000000000006"/>
    <n v="523"/>
    <x v="29"/>
    <n v="113.47999999999999"/>
    <n v="25"/>
    <n v="10"/>
    <m/>
    <n v="256.60000000000002"/>
    <s v="Medium Priority/High Proxy value for money "/>
    <m/>
  </r>
  <r>
    <n v="103"/>
    <x v="18"/>
    <x v="31"/>
    <x v="3"/>
    <n v="2.6"/>
    <s v="Yes - Existing (Protected - safe)"/>
    <x v="3"/>
    <s v="Connects to off-road shared path at St Heliers"/>
    <n v="2"/>
    <n v="3"/>
    <s v="AT network - mid-range ($5m/km)"/>
    <n v="5"/>
    <n v="13"/>
    <x v="2"/>
    <s v="Wide lanes and on-street parking in locations; no strategic modal conflicts"/>
    <s v="Low Medium"/>
    <n v="2"/>
    <n v="13"/>
    <m/>
    <n v="294"/>
    <x v="30"/>
    <n v="58.8"/>
    <n v="30"/>
    <n v="13"/>
    <m/>
    <n v="269.60000000000002"/>
    <s v="Medium Priority/Low Proxy value for money"/>
    <s v="Potential funding through Central Govt Package. Alternative active modes connection proposed in Brownfields PBC recommended programme for Mt Roskill."/>
  </r>
  <r>
    <n v="104"/>
    <x v="18"/>
    <x v="32"/>
    <x v="2"/>
    <n v="0.9"/>
    <s v="Yes - Committed"/>
    <x v="1"/>
    <s v="Connects to committed Links to GI project"/>
    <n v="1"/>
    <n v="1"/>
    <s v="AT network - reallocate road space ($1m/km)"/>
    <n v="1"/>
    <n v="0.9"/>
    <x v="1"/>
    <s v="On street parking; wide lanes"/>
    <s v="Medium   "/>
    <n v="3"/>
    <n v="13"/>
    <m/>
    <n v="66"/>
    <x v="31"/>
    <n v="66"/>
    <n v="30"/>
    <n v="0.9"/>
    <m/>
    <n v="270.5"/>
    <s v="Medium Priority/Low Proxy value for money"/>
    <m/>
  </r>
  <r>
    <n v="33"/>
    <x v="19"/>
    <x v="33"/>
    <x v="1"/>
    <n v="0.5"/>
    <s v="Yes - Existing (Protected - safe)"/>
    <x v="3"/>
    <s v="Connects to existing shared path on Tristam Ave"/>
    <n v="2"/>
    <n v="3"/>
    <s v="AT network - reallocate road space ($1m/km)"/>
    <n v="1"/>
    <n v="0.5"/>
    <x v="1"/>
    <s v="Gaps in cycle provision - wide lanes; car parking allow for reallocation"/>
    <s v="Medium   "/>
    <n v="3"/>
    <n v="16"/>
    <n v="122.2"/>
    <m/>
    <x v="32"/>
    <n v="122.2"/>
    <n v="30"/>
    <n v="0.5"/>
    <n v="15"/>
    <n v="286"/>
    <s v="High Priority/OK Proxy value for money - Smales Farm SSBC?"/>
    <m/>
  </r>
  <r>
    <n v="34"/>
    <x v="19"/>
    <x v="34"/>
    <x v="1"/>
    <n v="1.6"/>
    <s v="Yes - Committed"/>
    <x v="1"/>
    <s v="Connects to existing painted lanes on Glenfield Road (pop-up protection)"/>
    <n v="2"/>
    <n v="3"/>
    <s v="AT network - reallocate road space ($1m/km)"/>
    <n v="1"/>
    <n v="1.6"/>
    <x v="1"/>
    <s v="On-street parking"/>
    <s v="Medium   "/>
    <n v="3"/>
    <n v="15"/>
    <n v="122.2"/>
    <m/>
    <x v="32"/>
    <n v="122.2"/>
    <n v="30"/>
    <n v="1.6"/>
    <m/>
    <n v="287.60000000000002"/>
    <s v="High Priority/OK Proxy value for money - Smales Farm SSBC?"/>
    <m/>
  </r>
  <r>
    <n v="35"/>
    <x v="19"/>
    <x v="35"/>
    <x v="1"/>
    <n v="1.5"/>
    <s v="Yes - Existing (Protected - safe)"/>
    <x v="3"/>
    <s v="Connects to existing shared path on Akoranga Dr"/>
    <n v="1"/>
    <n v="1"/>
    <s v="AT network - reallocate road space ($1m/km)"/>
    <n v="1"/>
    <n v="1.5"/>
    <x v="1"/>
    <s v="Flush median; on-street parking"/>
    <s v="Medium   "/>
    <n v="3"/>
    <n v="14"/>
    <n v="122.2"/>
    <m/>
    <x v="32"/>
    <n v="122.2"/>
    <n v="30"/>
    <n v="1.5"/>
    <m/>
    <n v="289.10000000000002"/>
    <s v="High Priority/OK Proxy value for money - Smales Farm SSBC?"/>
    <m/>
  </r>
  <r>
    <n v="60"/>
    <x v="1"/>
    <x v="36"/>
    <x v="2"/>
    <n v="2.2000000000000002"/>
    <s v="Yes - Existing (Protected - safe)"/>
    <x v="3"/>
    <s v="Connects to existing Opanuku Stream off-road greenway"/>
    <n v="3"/>
    <n v="5"/>
    <s v="AT network - mid-range ($5m/km)"/>
    <n v="5"/>
    <n v="11"/>
    <x v="2"/>
    <s v="Flush median; narrow in sections; some on-street parking"/>
    <s v="Medium   "/>
    <n v="3"/>
    <n v="16"/>
    <n v="100"/>
    <n v="215"/>
    <x v="33"/>
    <n v="63"/>
    <n v="35"/>
    <n v="11"/>
    <m/>
    <n v="300.10000000000002"/>
    <s v="High Priority - deliver with Henderson SSBC if connecting to town centre?"/>
    <m/>
  </r>
  <r>
    <n v="61"/>
    <x v="1"/>
    <x v="37"/>
    <x v="2"/>
    <n v="1.8"/>
    <s v="Yes - Existing (Protected - safe)"/>
    <x v="3"/>
    <s v="Connects to existing painted lanes on Te Atatu Rd leading to NW cyclway"/>
    <n v="3"/>
    <n v="5"/>
    <s v="AT network - reallocate road space ($1m/km)"/>
    <n v="1"/>
    <n v="1.8"/>
    <x v="1"/>
    <s v="Flush median; narrow in sections; no on-street parking"/>
    <s v="Medium   "/>
    <n v="3"/>
    <n v="18"/>
    <n v="37"/>
    <n v="394"/>
    <x v="34"/>
    <n v="431"/>
    <n v="35"/>
    <n v="1.8"/>
    <m/>
    <n v="301.90000000000003"/>
    <s v="High Priority/Proxy value for money; No Connectivity - deliver with Henderson SSBC if connecting to town centre?"/>
    <s v="Network Optimisation SSBC recommending improvements on Edmonton Rd."/>
  </r>
  <r>
    <n v="77"/>
    <x v="20"/>
    <x v="38"/>
    <x v="2"/>
    <n v="4.5"/>
    <s v="Yes - Committed"/>
    <x v="1"/>
    <s v="Connects to committed ConCom corridors"/>
    <n v="2"/>
    <n v="3"/>
    <s v="AT network - mid-range ($5m/km)"/>
    <n v="5"/>
    <n v="22.5"/>
    <x v="2"/>
    <s v="FTN but no existing/planned bus lanes; multiple intersections; heavy traffic/freight "/>
    <s v="Medium High"/>
    <n v="4"/>
    <n v="14"/>
    <n v="87.600000000000009"/>
    <n v="1123"/>
    <x v="35"/>
    <n v="242.12"/>
    <n v="35"/>
    <n v="22.5"/>
    <m/>
    <n v="324.40000000000003"/>
    <s v="Medium Priority/High Proxy value for money - talk to ConCom, AT Metro and Light Rail teams"/>
    <m/>
  </r>
  <r>
    <n v="48"/>
    <x v="8"/>
    <x v="39"/>
    <x v="2"/>
    <n v="2"/>
    <s v="Yes - Existing (Unprotected - unsafe)"/>
    <x v="4"/>
    <s v="Connects to NW Cycleway via Royal Road"/>
    <n v="3"/>
    <n v="5"/>
    <s v="AT network - reallocate road space ($1m/km)"/>
    <n v="1"/>
    <n v="2"/>
    <x v="1"/>
    <s v="Flush median; wide lanes;"/>
    <s v="Medium   "/>
    <n v="3"/>
    <n v="16"/>
    <m/>
    <n v="251"/>
    <x v="36"/>
    <n v="251"/>
    <n v="35"/>
    <n v="2"/>
    <m/>
    <n v="326.40000000000003"/>
    <s v="High Priority/Proxy value for money - deliver with Hobsonville Rd incl Luckens and Royal Rd to NW"/>
    <s v="Supporting Growth alignment"/>
  </r>
  <r>
    <n v="90"/>
    <x v="21"/>
    <x v="40"/>
    <x v="1"/>
    <n v="1.5"/>
    <s v="Yes - Planned"/>
    <x v="2"/>
    <s v="Connects to planned ConCom Corridor"/>
    <n v="3"/>
    <n v="5"/>
    <s v="AT network - reallocate road space ($1m/km)"/>
    <n v="1"/>
    <n v="1.5"/>
    <x v="1"/>
    <s v="On street parking"/>
    <s v="Medium   "/>
    <n v="3"/>
    <n v="14"/>
    <m/>
    <n v="747"/>
    <x v="37"/>
    <n v="747"/>
    <n v="40"/>
    <n v="1.5"/>
    <m/>
    <n v="327.90000000000003"/>
    <s v="Medium Priority/High Proxy value for money - combine Park Road (ConCom Manukau Rd SSBC) to for connectivity "/>
    <m/>
  </r>
  <r>
    <n v="89"/>
    <x v="21"/>
    <x v="41"/>
    <x v="2"/>
    <n v="0.6"/>
    <s v="Yes - Committed"/>
    <x v="1"/>
    <s v="Connection to committed cycle facilities on Mt Eden Rd"/>
    <n v="2"/>
    <n v="3"/>
    <s v="AT network - reallocate road space ($1m/km)"/>
    <n v="1"/>
    <n v="0.6"/>
    <x v="1"/>
    <s v="On street parking"/>
    <s v="Low Medium"/>
    <n v="2"/>
    <n v="14"/>
    <m/>
    <n v="455"/>
    <x v="38"/>
    <n v="455"/>
    <n v="40"/>
    <n v="0.6"/>
    <m/>
    <n v="328.50000000000006"/>
    <s v="Medium Priority/High Proxy value for money - deliver with Mountain Rd"/>
    <m/>
  </r>
  <r>
    <n v="127"/>
    <x v="22"/>
    <x v="42"/>
    <x v="2"/>
    <n v="1.3"/>
    <s v="Yes - Existing (Protected - safe)"/>
    <x v="3"/>
    <s v="Connects to off-road shared path on East Tamaki Rd"/>
    <n v="1"/>
    <n v="1"/>
    <s v="AT network - reallocate road space ($1m/km)"/>
    <n v="1"/>
    <n v="1.3"/>
    <x v="1"/>
    <s v="Wide lanes; flush median; on-street parking; no other strategic modal priorities"/>
    <s v="Medium High"/>
    <n v="4"/>
    <n v="15"/>
    <n v="67.2"/>
    <n v="381"/>
    <x v="39"/>
    <n v="448.19999999999993"/>
    <n v="40"/>
    <n v="1.3"/>
    <m/>
    <n v="329.80000000000007"/>
    <s v="High Priority/Proxy value for money - missing major link"/>
    <m/>
  </r>
  <r>
    <n v="128"/>
    <x v="22"/>
    <x v="43"/>
    <x v="1"/>
    <n v="1.7"/>
    <s v="Yes - Existing (Protected - safe)"/>
    <x v="3"/>
    <s v="Connects to off-road shared path on East Tamaki Rd"/>
    <n v="3"/>
    <n v="5"/>
    <s v="AT network - reallocate road space ($1m/km)"/>
    <n v="1"/>
    <n v="1.7"/>
    <x v="1"/>
    <s v="Wide lanes; flush median; on-street parking; no other strategic modal priorities"/>
    <s v="Medium   "/>
    <n v="3"/>
    <n v="18"/>
    <n v="67.2"/>
    <m/>
    <x v="40"/>
    <n v="67.2"/>
    <n v="40"/>
    <n v="1.7"/>
    <m/>
    <n v="331.50000000000006"/>
    <s v="High Priority/Low Proxy value for money - relies on Preston Rd but could deliver with Bairds Rd (north)"/>
    <m/>
  </r>
  <r>
    <n v="129"/>
    <x v="22"/>
    <x v="44"/>
    <x v="3"/>
    <n v="1.8"/>
    <s v="Yes - Existing (Protected - safe)"/>
    <x v="3"/>
    <s v="Connects to off-road shared path on East Tamaki Rd"/>
    <n v="3"/>
    <n v="5"/>
    <s v="AT network - move kerbs ($10m/km)"/>
    <n v="10"/>
    <n v="18"/>
    <x v="4"/>
    <s v="On-street parking and flush median allows reallocation but other strategic modal priorities (FTN, Priary Arterial)"/>
    <s v="Medium High"/>
    <n v="4"/>
    <n v="16"/>
    <n v="67.2"/>
    <n v="690"/>
    <x v="41"/>
    <n v="75.72"/>
    <n v="40"/>
    <n v="18"/>
    <m/>
    <n v="349.50000000000006"/>
    <s v="High Priority/Low Proxy value for money - missing regional link to Great South Road"/>
    <s v="Potential funding through Central Govt Package"/>
  </r>
  <r>
    <n v="126"/>
    <x v="23"/>
    <x v="45"/>
    <x v="2"/>
    <n v="6.5"/>
    <s v="Yes - Committed"/>
    <x v="1"/>
    <s v="Connects to committed cycle facility along Ti Rakau Drive as part of Eastern Busway"/>
    <n v="3"/>
    <n v="5"/>
    <s v="AT network - mid-range ($5m/km)"/>
    <n v="5"/>
    <n v="32.5"/>
    <x v="2"/>
    <s v="Multiple strategic modal priorities - RTN; L2 Freight, Primary Arterial. Flush median and multiple lanes - potential reallocation. Wide grassy berm along most the corridor. Possible reallocation of on-street parking on Preston Rd and Reagan Rd. Pinchpoint on Reagan Rd overbridge. "/>
    <s v="Medium   "/>
    <n v="3"/>
    <n v="15"/>
    <m/>
    <n v="1161"/>
    <x v="42"/>
    <n v="232.2"/>
    <n v="45"/>
    <n v="32.5"/>
    <m/>
    <n v="382.00000000000006"/>
    <s v="High Priority/Proxy value for money but costly/complex - Preston and Reagan first?"/>
    <m/>
  </r>
  <r>
    <n v="134"/>
    <x v="2"/>
    <x v="46"/>
    <x v="2"/>
    <n v="1.3"/>
    <s v="Yes - Existing (Unprotected - unsafe)"/>
    <x v="4"/>
    <s v="Connects to off-road shared path on northern end"/>
    <n v="1"/>
    <n v="1"/>
    <s v="AT network - reallocate road space ($1m/km)"/>
    <n v="1"/>
    <n v="1.3"/>
    <x v="1"/>
    <s v="Flush median; on-street parking; no other strategic modal priorities"/>
    <s v="Low Medium"/>
    <n v="2"/>
    <n v="11"/>
    <n v="92.64"/>
    <n v="295"/>
    <x v="43"/>
    <n v="387.64"/>
    <n v="45"/>
    <n v="1.3"/>
    <m/>
    <n v="383.30000000000007"/>
    <s v="Medium Priority/High Proxy value for money - connection to Favona Road (following delivery)"/>
    <m/>
  </r>
  <r>
    <n v="144"/>
    <x v="24"/>
    <x v="47"/>
    <x v="1"/>
    <n v="1.4"/>
    <s v="Yes - Committed"/>
    <x v="1"/>
    <s v="Connects to painted lanes on Station Rd and Puhinui Rd  (pop-up protection)"/>
    <n v="3"/>
    <n v="5"/>
    <s v="AT network - reallocate road space ($1m/km)"/>
    <n v="1"/>
    <n v="1.4"/>
    <x v="1"/>
    <s v="Flush median; on-street parking; no strategic modal conflicts"/>
    <s v="Low Medium"/>
    <n v="2"/>
    <n v="16"/>
    <n v="170.2"/>
    <n v="202"/>
    <x v="44"/>
    <n v="372.2"/>
    <n v="45"/>
    <n v="1.4"/>
    <n v="20"/>
    <n v="404.70000000000005"/>
    <s v="High Priority/Proxy value for money"/>
    <m/>
  </r>
  <r>
    <n v="148"/>
    <x v="24"/>
    <x v="48"/>
    <x v="2"/>
    <n v="1"/>
    <s v="Yes - Existing (Unprotected - unsafe)"/>
    <x v="4"/>
    <s v="Connects to painted lanes on Puhinui Rd"/>
    <n v="2"/>
    <n v="3"/>
    <s v="AT network - reallocate road space ($1m/km)"/>
    <n v="1"/>
    <n v="1"/>
    <x v="1"/>
    <s v="On-street parking; flush median; Strategic RTN link but no existing or planned bus lanes"/>
    <s v="Medium   "/>
    <n v="3"/>
    <n v="14"/>
    <n v="170.2"/>
    <n v="256"/>
    <x v="45"/>
    <n v="426.2"/>
    <n v="45"/>
    <n v="1"/>
    <m/>
    <n v="405.70000000000005"/>
    <s v="Medium Priority/High Proxy value for money"/>
    <m/>
  </r>
  <r>
    <n v="54"/>
    <x v="1"/>
    <x v="49"/>
    <x v="3"/>
    <n v="1.5"/>
    <s v="Yes - Committed"/>
    <x v="1"/>
    <s v="Connects to Lincoln Rd North project"/>
    <n v="4"/>
    <n v="5"/>
    <s v="AT network - move kerbs ($10m/km)"/>
    <n v="10"/>
    <n v="15"/>
    <x v="4"/>
    <s v="Multi-modal conflicts; RTN"/>
    <s v="Medium   "/>
    <n v="3"/>
    <n v="14"/>
    <m/>
    <n v="452"/>
    <x v="46"/>
    <n v="45.2"/>
    <n v="50"/>
    <n v="15"/>
    <m/>
    <n v="420.70000000000005"/>
    <s v="Medium Priority/Low Proxy value for money  part of Henderson SSBC"/>
    <s v="Potential funding through Central Govt Package"/>
  </r>
  <r>
    <n v="62"/>
    <x v="1"/>
    <x v="50"/>
    <x v="2"/>
    <n v="2.4"/>
    <s v="Yes - Existing (Unprotected - unsafe)"/>
    <x v="4"/>
    <s v="Connects to existing painted lanes on Te Atatu Rd leading to NW cyclway"/>
    <n v="3"/>
    <n v="5"/>
    <s v="AT network - mid-range ($5m/km)"/>
    <n v="5"/>
    <n v="12"/>
    <x v="2"/>
    <s v="Proposed T2 lanes; flush median; on-street parking"/>
    <s v="Medium High"/>
    <n v="4"/>
    <n v="15"/>
    <m/>
    <n v="200"/>
    <x v="47"/>
    <n v="40"/>
    <n v="50"/>
    <n v="12"/>
    <m/>
    <n v="432.70000000000005"/>
    <s v="Low Proxy value for money - AT Metro delivering cycle facilities?"/>
    <s v="Network Optimisation SSBC recommending improvements on Te Atatu Rd to Alderman Dr."/>
  </r>
  <r>
    <n v="86"/>
    <x v="25"/>
    <x v="51"/>
    <x v="2"/>
    <n v="1"/>
    <s v="Yes - Existing (Protected - safe)"/>
    <x v="3"/>
    <s v="Connects to NW cycleway"/>
    <n v="2"/>
    <n v="3"/>
    <s v="AT network - mid-range ($5m/km)"/>
    <n v="5"/>
    <n v="5"/>
    <x v="2"/>
    <s v="Some kerb movement required on NW overbridge"/>
    <s v="Low Medium"/>
    <n v="2"/>
    <n v="13"/>
    <m/>
    <n v="583"/>
    <x v="48"/>
    <n v="116.6"/>
    <n v="50"/>
    <n v="5"/>
    <m/>
    <n v="437.70000000000005"/>
    <s v="Medium Priority/High Proxy value for money"/>
    <m/>
  </r>
  <r>
    <n v="161"/>
    <x v="26"/>
    <x v="52"/>
    <x v="2"/>
    <n v="2.2999999999999998"/>
    <s v="Yes - Committed"/>
    <x v="1"/>
    <s v="Connects to existing painted lanes on Porchester Rd (northern section) (pop-up protection)"/>
    <n v="1"/>
    <n v="1"/>
    <s v="AT network - reallocate road space ($1m/km)"/>
    <n v="1"/>
    <n v="2.2999999999999998"/>
    <x v="1"/>
    <s v="On-street parking; flush median; no other strategic modal priorities"/>
    <s v="Medium   "/>
    <n v="3"/>
    <n v="13"/>
    <n v="58.350000000000009"/>
    <n v="185"/>
    <x v="49"/>
    <n v="243.35000000000002"/>
    <n v="50"/>
    <n v="2.2999999999999998"/>
    <m/>
    <n v="440.00000000000006"/>
    <s v="Medium Priority/High Proxy value for money"/>
    <m/>
  </r>
  <r>
    <n v="162"/>
    <x v="26"/>
    <x v="53"/>
    <x v="2"/>
    <n v="2.2000000000000002"/>
    <s v="Yes - Committed"/>
    <x v="1"/>
    <s v="Connects to existing painted lanes on Porchester Rd (northern section) (pop-up protection)"/>
    <n v="2"/>
    <n v="3"/>
    <s v="AT network - reallocate road space ($1m/km)"/>
    <n v="1"/>
    <n v="2.2000000000000002"/>
    <x v="1"/>
    <s v="On-street parking; flush median; no other strategic modal priorities"/>
    <s v="Low Medium"/>
    <n v="2"/>
    <n v="14"/>
    <n v="58.350000000000009"/>
    <n v="212"/>
    <x v="50"/>
    <n v="270.35000000000002"/>
    <n v="50"/>
    <n v="2.2000000000000002"/>
    <m/>
    <n v="442.20000000000005"/>
    <s v="Medium Priority/High Proxy value for money"/>
    <m/>
  </r>
  <r>
    <n v="164"/>
    <x v="26"/>
    <x v="54"/>
    <x v="2"/>
    <n v="0.5"/>
    <s v="Yes - Planned"/>
    <x v="2"/>
    <s v="Connection to planned ConCom GSR Corridor"/>
    <n v="3"/>
    <n v="5"/>
    <s v="AT network - reallocate road space ($1m/km)"/>
    <n v="1"/>
    <n v="0.5"/>
    <x v="1"/>
    <s v="On-street parking; flush median"/>
    <s v="Medium   "/>
    <n v="3"/>
    <n v="14"/>
    <n v="58.350000000000009"/>
    <n v="149"/>
    <x v="51"/>
    <n v="207.35000000000002"/>
    <n v="50"/>
    <n v="0.5"/>
    <m/>
    <n v="442.70000000000005"/>
    <s v="Medium Priority/High Proxy value for money"/>
    <m/>
  </r>
  <r>
    <n v="165"/>
    <x v="26"/>
    <x v="55"/>
    <x v="2"/>
    <n v="2"/>
    <s v="No"/>
    <x v="5"/>
    <m/>
    <n v="3"/>
    <n v="5"/>
    <s v="AT network - reallocate road space ($1m/km)"/>
    <n v="1"/>
    <n v="2"/>
    <x v="1"/>
    <s v="On-street parking; flush median; Primary Arterial"/>
    <s v="Medium   "/>
    <n v="3"/>
    <n v="13"/>
    <n v="58.350000000000009"/>
    <n v="178"/>
    <x v="52"/>
    <n v="236.35000000000002"/>
    <n v="50"/>
    <n v="2"/>
    <m/>
    <n v="444.70000000000005"/>
    <s v="Medium Priority/High Proxy value for money"/>
    <m/>
  </r>
  <r>
    <n v="167"/>
    <x v="26"/>
    <x v="56"/>
    <x v="2"/>
    <n v="1.2"/>
    <s v="No"/>
    <x v="5"/>
    <m/>
    <n v="3"/>
    <n v="5"/>
    <s v="AT network - reallocate road space ($1m/km)"/>
    <n v="1"/>
    <n v="1.2"/>
    <x v="1"/>
    <s v="On-street parking; reserve; flush median on Settement Rd; no other strategic modal priorities"/>
    <s v="Medium   "/>
    <n v="3"/>
    <n v="13"/>
    <n v="58.350000000000009"/>
    <n v="132"/>
    <x v="53"/>
    <n v="190.35000000000002"/>
    <n v="50"/>
    <n v="1.2"/>
    <m/>
    <n v="445.90000000000003"/>
    <s v="Medium Priority/High Proxy value for money"/>
    <m/>
  </r>
  <r>
    <n v="172"/>
    <x v="26"/>
    <x v="57"/>
    <x v="1"/>
    <n v="1"/>
    <s v="Yes - Committed"/>
    <x v="1"/>
    <s v="Connects to existing painted lanes on SH1 overbridge onto Southern Corridor Improvements shared path and future connection onto committed SH1 Papakura to Drury shared path "/>
    <n v="3"/>
    <n v="5"/>
    <s v="AT network - mid-range ($5m/km)"/>
    <n v="5"/>
    <n v="5"/>
    <x v="2"/>
    <s v="Wide lanes; flush median; some on-street parking; multiple strategic modal priorities"/>
    <s v="Low Medium"/>
    <n v="2"/>
    <n v="14"/>
    <n v="58.350000000000009"/>
    <n v="129"/>
    <x v="54"/>
    <n v="37.470000000000006"/>
    <n v="50"/>
    <n v="5"/>
    <m/>
    <n v="450.90000000000003"/>
    <s v="Medium Priority/Low Proxy value for money"/>
    <s v="Aligns with SH1 Papakura to Drury South shared path"/>
  </r>
  <r>
    <n v="88"/>
    <x v="27"/>
    <x v="58"/>
    <x v="1"/>
    <n v="2"/>
    <s v="Yes - Existing (Protected - safe)"/>
    <x v="3"/>
    <s v="Connects to off-road shared path adjacent to Orakei Rd"/>
    <n v="2"/>
    <n v="3"/>
    <s v="AT network - reallocate road space ($1m/km)"/>
    <n v="1"/>
    <n v="2"/>
    <x v="1"/>
    <s v="No strategic modal conflicts; ample on-street parking"/>
    <s v="Medium   "/>
    <n v="3"/>
    <n v="16"/>
    <m/>
    <n v="749"/>
    <x v="55"/>
    <n v="749"/>
    <n v="50"/>
    <n v="2"/>
    <m/>
    <n v="452.90000000000003"/>
    <s v="High Priority/Proxy value for money"/>
    <m/>
  </r>
  <r>
    <n v="53"/>
    <x v="28"/>
    <x v="59"/>
    <x v="2"/>
    <n v="2"/>
    <s v="Yes - Committed"/>
    <x v="1"/>
    <s v="Connects to existing painted lanes on Te Atatu Rd  (pop-up protection)"/>
    <n v="2"/>
    <n v="3"/>
    <s v="AT network - reallocate road space ($1m/km)"/>
    <n v="1"/>
    <n v="2"/>
    <x v="1"/>
    <s v="Flush median; on-street parking"/>
    <s v="Medium   "/>
    <n v="3"/>
    <n v="15"/>
    <m/>
    <n v="199"/>
    <x v="56"/>
    <n v="199"/>
    <n v="50"/>
    <n v="2"/>
    <m/>
    <n v="454.90000000000003"/>
    <s v="High Priority/Proxy value for money"/>
    <m/>
  </r>
  <r>
    <n v="49"/>
    <x v="8"/>
    <x v="60"/>
    <x v="2"/>
    <n v="1.2"/>
    <s v="Yes - Existing (Protected - safe)"/>
    <x v="3"/>
    <s v="Connects to NW Cycleway via Makora Road?"/>
    <n v="2"/>
    <n v="3"/>
    <s v="AT network - reallocate road space ($1m/km)"/>
    <n v="1"/>
    <n v="1.2"/>
    <x v="1"/>
    <s v="Flush median; wide lanes; pinchpoint on Royal Road overbridge "/>
    <s v="Low Medium"/>
    <n v="2"/>
    <n v="15"/>
    <m/>
    <n v="310"/>
    <x v="57"/>
    <n v="310"/>
    <n v="50"/>
    <n v="1.2"/>
    <m/>
    <n v="456.1"/>
    <s v="High Priority/Proxy value for money - connection to NW Cycleway from west side"/>
    <s v="Supporting Growth alignment. Network Optimisation SSBC recommending cycle crossing at Royal Rd/Makora Rd intersection."/>
  </r>
  <r>
    <n v="96"/>
    <x v="29"/>
    <x v="61"/>
    <x v="2"/>
    <n v="3"/>
    <s v="Yes - Committed"/>
    <x v="1"/>
    <s v="Connects to committed ConCom corridors"/>
    <n v="2"/>
    <n v="3"/>
    <s v="AT network - mid-range ($5m/km)"/>
    <n v="5"/>
    <n v="15"/>
    <x v="2"/>
    <s v="FTN but no existing/planned bus lanes; however narrow width and intermittent car parking"/>
    <s v="Medium   "/>
    <n v="3"/>
    <n v="13"/>
    <m/>
    <n v="642"/>
    <x v="58"/>
    <n v="128.4"/>
    <n v="60"/>
    <n v="15"/>
    <m/>
    <n v="471.1"/>
    <s v="Medium Priority/High Proxy value for money"/>
    <m/>
  </r>
  <r>
    <n v="99"/>
    <x v="12"/>
    <x v="62"/>
    <x v="3"/>
    <n v="5.5"/>
    <s v="Yes - Committed"/>
    <x v="1"/>
    <s v="Connects to new Mangere Bridge"/>
    <n v="2"/>
    <n v="3"/>
    <s v="AT network - mid-range ($5m/km)"/>
    <n v="5"/>
    <n v="27.5"/>
    <x v="2"/>
    <s v="FTN but no existing/planned bus lanes; multiple intersections; heavy traffic/freight "/>
    <s v="Medium   "/>
    <n v="3"/>
    <n v="13"/>
    <m/>
    <n v="644"/>
    <x v="59"/>
    <n v="128.80000000000001"/>
    <n v="60"/>
    <n v="27.5"/>
    <m/>
    <n v="498.6"/>
    <s v="Medium Priority/High Proxy value for money"/>
    <s v="Potential funding through Central Govt Package. Eke Panuku investigating cycle connection from Onehunga town centre to the Wharf (alternative to Onehunga Mall Rd connection)"/>
  </r>
  <r>
    <n v="130"/>
    <x v="22"/>
    <x v="63"/>
    <x v="1"/>
    <n v="1.2"/>
    <s v="Yes - Committed"/>
    <x v="1"/>
    <s v="Connects to painted cycle lanes on Te Irirangi Dr  (pop-up protection)"/>
    <n v="2"/>
    <n v="3"/>
    <s v="AT network - reallocate road space ($1m/km)"/>
    <n v="1"/>
    <n v="1.2"/>
    <x v="1"/>
    <s v="On-street parking; flush median"/>
    <s v="Medium   "/>
    <n v="3"/>
    <n v="15"/>
    <n v="67.2"/>
    <n v="175"/>
    <x v="60"/>
    <n v="242.2"/>
    <n v="60"/>
    <n v="1.2"/>
    <m/>
    <n v="499.8"/>
    <s v="High Priority/Proxy value for money"/>
    <m/>
  </r>
  <r>
    <n v="108"/>
    <x v="13"/>
    <x v="64"/>
    <x v="2"/>
    <n v="0.8"/>
    <s v="Yes - Existing (Protected - safe)"/>
    <x v="3"/>
    <s v="Connects to existing off road shared path on College Road and potential connection to committed UCP - Links to GI project"/>
    <n v="2"/>
    <n v="3"/>
    <s v="AT network - reallocate road space ($1m/km)"/>
    <n v="1"/>
    <n v="0.8"/>
    <x v="1"/>
    <s v="Wide lanes; no other modal priorities"/>
    <s v="Low  "/>
    <n v="1"/>
    <n v="14"/>
    <n v="30.3"/>
    <n v="276"/>
    <x v="61"/>
    <n v="306.3"/>
    <n v="60"/>
    <n v="0.8"/>
    <m/>
    <n v="500.6"/>
    <s v="Medium Priority/High Proxy value for money"/>
    <s v="Part of Brownfields PBC recommended programme for Tāmaki (not the full connection)"/>
  </r>
  <r>
    <n v="109"/>
    <x v="13"/>
    <x v="65"/>
    <x v="1"/>
    <n v="1"/>
    <s v="Yes - Existing (Unprotected - unsafe)"/>
    <x v="4"/>
    <s v="Connects to existing painted lanes on Morrin Road  "/>
    <n v="2"/>
    <n v="3"/>
    <s v="AT network - reallocate road space ($1m/km)"/>
    <n v="1"/>
    <n v="1"/>
    <x v="1"/>
    <s v="On street parking; wide lanes; no other modal priorities"/>
    <s v="Low  "/>
    <n v="1"/>
    <n v="12"/>
    <n v="30.3"/>
    <n v="282"/>
    <x v="62"/>
    <n v="312.3"/>
    <n v="60"/>
    <n v="1"/>
    <m/>
    <n v="501.6"/>
    <s v="Medium Priority/High Proxy value for money"/>
    <s v="Part of Brownfields PBC recommended programme for Tāmaki (not the full connection)"/>
  </r>
  <r>
    <n v="147"/>
    <x v="24"/>
    <x v="66"/>
    <x v="2"/>
    <n v="1.3"/>
    <s v="No"/>
    <x v="5"/>
    <m/>
    <n v="3"/>
    <n v="5"/>
    <s v="AT network - reallocate road space ($1m/km)"/>
    <n v="1"/>
    <n v="1.3"/>
    <x v="1"/>
    <s v="On-street parking; no strategic modal conflicts"/>
    <s v="Medium   "/>
    <n v="3"/>
    <n v="13"/>
    <n v="170.2"/>
    <n v="282"/>
    <x v="63"/>
    <n v="452.2"/>
    <n v="60"/>
    <n v="1.3"/>
    <m/>
    <n v="502.90000000000003"/>
    <s v="Medium Priority/High Proxy value for money"/>
    <m/>
  </r>
  <r>
    <n v="19"/>
    <x v="16"/>
    <x v="67"/>
    <x v="2"/>
    <n v="1.3"/>
    <s v="Yes - Existing (Protected - safe)"/>
    <x v="3"/>
    <s v="Connects to off-road shared path under SH1"/>
    <n v="3"/>
    <n v="5"/>
    <s v="AT network - move kerbs ($10m/km)"/>
    <n v="10"/>
    <n v="13"/>
    <x v="4"/>
    <s v="Primary Arterial; RTN"/>
    <s v="Medium   "/>
    <n v="3"/>
    <n v="15"/>
    <n v="123.5"/>
    <n v="637"/>
    <x v="64"/>
    <n v="76.05"/>
    <n v="70"/>
    <n v="13"/>
    <m/>
    <n v="515.90000000000009"/>
    <s v="Low Proxy value for money"/>
    <m/>
  </r>
  <r>
    <n v="95"/>
    <x v="29"/>
    <x v="68"/>
    <x v="3"/>
    <n v="0.6"/>
    <s v="Yes - Existing (Protected - safe)"/>
    <x v="3"/>
    <s v="Connects to off-road cycle facilities on Green Lane East"/>
    <n v="2"/>
    <n v="3"/>
    <s v="AT network - mid-range ($5m/km)"/>
    <n v="5"/>
    <n v="3"/>
    <x v="2"/>
    <s v="Multiple GT lanes; but busy road and potential pinchpoints"/>
    <s v="Medium   "/>
    <n v="3"/>
    <n v="14"/>
    <m/>
    <n v="72"/>
    <x v="65"/>
    <n v="14.399999999999999"/>
    <n v="70"/>
    <n v="3"/>
    <m/>
    <n v="518.90000000000009"/>
    <s v="Medium Priority/Low Proxy value for money relies on ConCom Remuera Rd"/>
    <s v="Potential funding through Central Govt Package"/>
  </r>
  <r>
    <n v="58"/>
    <x v="1"/>
    <x v="69"/>
    <x v="2"/>
    <n v="2.2000000000000002"/>
    <s v="No"/>
    <x v="5"/>
    <m/>
    <n v="3"/>
    <n v="5"/>
    <s v="AT network - reallocate road space ($1m/km)"/>
    <n v="1"/>
    <n v="2.2000000000000002"/>
    <x v="1"/>
    <s v="Flush median on-street parking; pinchpoint at rail overbridge"/>
    <s v="Low Medium"/>
    <n v="2"/>
    <n v="12"/>
    <m/>
    <n v="409"/>
    <x v="66"/>
    <n v="409"/>
    <n v="70"/>
    <n v="2.2000000000000002"/>
    <m/>
    <n v="521.10000000000014"/>
    <s v="Medium Priority/High Proxy value for money"/>
    <m/>
  </r>
  <r>
    <n v="73"/>
    <x v="20"/>
    <x v="70"/>
    <x v="2"/>
    <n v="1"/>
    <s v="Yes - Existing (Protected - safe)"/>
    <x v="3"/>
    <s v="Connection to existing protected lanes on St Lukes Road "/>
    <n v="2"/>
    <n v="3"/>
    <s v="AT network - mid-range ($5m/km)"/>
    <n v="5"/>
    <n v="5"/>
    <x v="2"/>
    <s v="No on-street parking in sections; one GT in each direction"/>
    <s v="Low Medium"/>
    <n v="2"/>
    <n v="13"/>
    <n v="87.600000000000009"/>
    <n v="411"/>
    <x v="67"/>
    <n v="99.72"/>
    <n v="70"/>
    <n v="5"/>
    <m/>
    <n v="526.10000000000014"/>
    <s v="Medium Priority/Low Proxy value for money"/>
    <m/>
  </r>
  <r>
    <n v="74"/>
    <x v="20"/>
    <x v="71"/>
    <x v="2"/>
    <n v="1"/>
    <s v="Yes - Existing (Protected - safe)"/>
    <x v="3"/>
    <s v="Connection to existing protected lanes on St Lukes Road "/>
    <n v="1"/>
    <n v="1"/>
    <s v="AT network - mid-range ($5m/km)"/>
    <n v="5"/>
    <n v="5"/>
    <x v="2"/>
    <s v="FTN on NNR but no existing/planned bus lanes; on-street parking and flush median"/>
    <s v="Medium High"/>
    <n v="4"/>
    <n v="13"/>
    <n v="87.600000000000009"/>
    <n v="368"/>
    <x v="68"/>
    <n v="91.12"/>
    <n v="70"/>
    <n v="5"/>
    <m/>
    <n v="531.10000000000014"/>
    <s v="Medium Priority/Low Proxy value for money"/>
    <m/>
  </r>
  <r>
    <n v="115"/>
    <x v="30"/>
    <x v="72"/>
    <x v="2"/>
    <n v="2.4"/>
    <s v="Yes - Planned"/>
    <x v="2"/>
    <s v="Connects to planned ConCom GSR Corridor"/>
    <n v="3"/>
    <n v="5"/>
    <s v="AT network - move kerbs ($10m/km)"/>
    <n v="10"/>
    <n v="24"/>
    <x v="4"/>
    <s v="Primary Arterial, FTN and L1 Freight. 4-5 lanes + flush median. Intersection treatments required. Section south of Panama Rd may be able to be reallocated. "/>
    <s v="Medium High"/>
    <n v="4"/>
    <n v="12"/>
    <n v="39.6"/>
    <n v="879"/>
    <x v="69"/>
    <n v="91.86"/>
    <n v="70"/>
    <n v="24"/>
    <m/>
    <n v="555.10000000000014"/>
    <s v="Medium Priority/Low Proxy value for money"/>
    <s v="Atkinson Ave is part of current Safety intersections/corridors programme. Could consider funding alignment to ensure safe cycle provision. Network Optimisation SSBC recommending improvements at Mt Wellington Interchange."/>
  </r>
  <r>
    <n v="111"/>
    <x v="13"/>
    <x v="73"/>
    <x v="1"/>
    <n v="2.1"/>
    <s v="Yes - Committed"/>
    <x v="1"/>
    <s v="Missing link between Glen Innes and Panmure (Links to GI and Eastern Busway committed projects). Also part of Brownfields PBC recommended programme for Tāmaki. Consider Te Horeta extension IBC, which could deliver off-road walking and cycling connection."/>
    <n v="2"/>
    <n v="3"/>
    <s v="AT network - reallocate road space ($1m/km)"/>
    <n v="1"/>
    <n v="2.1"/>
    <x v="1"/>
    <s v="On street parking; wide lanes; FTN but no current/planned bus lanes."/>
    <s v="Medium   "/>
    <n v="3"/>
    <n v="15"/>
    <n v="30.3"/>
    <n v="123"/>
    <x v="70"/>
    <n v="153.30000000000001"/>
    <n v="70"/>
    <n v="2.1"/>
    <m/>
    <n v="557.20000000000016"/>
    <s v="High Priority/Proxy value for money - part of Brownfields PBC"/>
    <s v="Part of Brownfields PBC recommended programme for Tāmaki "/>
  </r>
  <r>
    <n v="21"/>
    <x v="16"/>
    <x v="74"/>
    <x v="1"/>
    <n v="0.4"/>
    <s v="Yes - Committed"/>
    <x v="1"/>
    <s v="Connection to Northern Pathway"/>
    <n v="2"/>
    <n v="3"/>
    <s v="AT network - reallocate road space ($1m/km)"/>
    <n v="1"/>
    <n v="0.4"/>
    <x v="1"/>
    <s v="On-road parking"/>
    <s v="Low  "/>
    <n v="1"/>
    <n v="13"/>
    <n v="123.5"/>
    <n v="176"/>
    <x v="71"/>
    <n v="299.5"/>
    <n v="80"/>
    <n v="0.4"/>
    <m/>
    <n v="557.60000000000014"/>
    <s v="Relies on McClymonts Rd"/>
    <m/>
  </r>
  <r>
    <n v="23"/>
    <x v="16"/>
    <x v="75"/>
    <x v="2"/>
    <n v="3"/>
    <s v="Yes - Existing (Unprotected - unsafe)"/>
    <x v="4"/>
    <s v="Connects to existing painted lanes on East Coast Rd north "/>
    <n v="2"/>
    <n v="3"/>
    <s v="AT network - mid-range ($5m/km)"/>
    <n v="5"/>
    <n v="15"/>
    <x v="2"/>
    <s v="FTN route with no current plans for bus priority; pinchpoints in sections make reallocation of road space difficult"/>
    <s v="Medium   "/>
    <n v="3"/>
    <n v="12"/>
    <n v="123.5"/>
    <n v="284"/>
    <x v="72"/>
    <n v="81.5"/>
    <n v="80"/>
    <n v="15"/>
    <m/>
    <n v="572.60000000000014"/>
    <s v="Medium Priority/Low Proxy value for money"/>
    <m/>
  </r>
  <r>
    <n v="24"/>
    <x v="16"/>
    <x v="76"/>
    <x v="2"/>
    <n v="1"/>
    <s v="Yes - Existing (Protected - safe)"/>
    <x v="3"/>
    <s v="Connects to off-road shared path that will link to Northern Pathway"/>
    <n v="2"/>
    <n v="3"/>
    <s v="AT network - reallocate road space ($1m/km)"/>
    <n v="1"/>
    <n v="1"/>
    <x v="1"/>
    <s v="Existing off-road path require intersection treatments"/>
    <s v="Medium   "/>
    <n v="3"/>
    <n v="16"/>
    <n v="123.5"/>
    <n v="88"/>
    <x v="73"/>
    <n v="211.5"/>
    <n v="80"/>
    <n v="1"/>
    <m/>
    <n v="573.60000000000014"/>
    <s v="Low Proxy value for money"/>
    <s v="May be upgraded as part of Northern Pathway (Albany-Constellation)"/>
  </r>
  <r>
    <n v="101"/>
    <x v="18"/>
    <x v="77"/>
    <x v="2"/>
    <n v="1.2"/>
    <s v="Yes - Existing (Protected - safe)"/>
    <x v="3"/>
    <s v="Connects to off-road shared path at Mission Bay"/>
    <n v="1"/>
    <n v="1"/>
    <s v="AT network - reallocate road space ($1m/km)"/>
    <n v="1"/>
    <n v="1.2"/>
    <x v="1"/>
    <s v="Reallocation potential - no other modal priorities but many driveways"/>
    <s v="Low Medium"/>
    <n v="2"/>
    <n v="13"/>
    <m/>
    <m/>
    <x v="0"/>
    <n v="20"/>
    <n v="80"/>
    <n v="1.2"/>
    <m/>
    <n v="574.80000000000018"/>
    <s v="Medium Priority/Low Proxy value for money"/>
    <m/>
  </r>
  <r>
    <n v="102"/>
    <x v="18"/>
    <x v="78"/>
    <x v="2"/>
    <n v="1.9"/>
    <s v="Yes - Committed"/>
    <x v="1"/>
    <s v="Connects to committed GI2T shared path"/>
    <n v="2"/>
    <n v="3"/>
    <s v="AT network - mid-range ($5m/km)"/>
    <n v="5"/>
    <n v="9.5"/>
    <x v="2"/>
    <s v="Multi-modal priorities; future freight link; reallocation potential but intersection treatments"/>
    <s v="Medium   "/>
    <n v="3"/>
    <n v="13"/>
    <m/>
    <n v="282"/>
    <x v="74"/>
    <n v="56.4"/>
    <n v="80"/>
    <n v="9.5"/>
    <m/>
    <n v="584.30000000000018"/>
    <s v="Medium Priority/Low Proxy value for money"/>
    <m/>
  </r>
  <r>
    <n v="105"/>
    <x v="31"/>
    <x v="79"/>
    <x v="2"/>
    <n v="2.2999999999999998"/>
    <s v="Yes - Existing (Protected - safe)"/>
    <x v="3"/>
    <s v="Connects to shared path on College Road"/>
    <n v="1"/>
    <n v="1"/>
    <s v="AT network - reallocate road space ($1m/km)"/>
    <n v="1"/>
    <n v="2.2999999999999998"/>
    <x v="1"/>
    <s v="Grass berm; flush median; some on-street parking. No other modal priorities. "/>
    <s v="Low Medium"/>
    <n v="2"/>
    <n v="13"/>
    <n v="77.2"/>
    <m/>
    <x v="75"/>
    <n v="77.2"/>
    <n v="80"/>
    <n v="2.2999999999999998"/>
    <m/>
    <n v="586.60000000000014"/>
    <s v="Medium Priority/Low Proxy value for money"/>
    <m/>
  </r>
  <r>
    <n v="97"/>
    <x v="29"/>
    <x v="80"/>
    <x v="2"/>
    <n v="3.2"/>
    <s v="Yes - Existing (Unprotected - unsafe)"/>
    <x v="4"/>
    <s v="Existing painted lanes on Rockfield Rd"/>
    <n v="2"/>
    <n v="3"/>
    <s v="AT network - reallocate road space ($1m/km)"/>
    <n v="1"/>
    <n v="3.2"/>
    <x v="1"/>
    <s v="Existing painted cycle lanes on Rockfield Rd"/>
    <s v="Medium   "/>
    <n v="3"/>
    <n v="14"/>
    <m/>
    <n v="98"/>
    <x v="76"/>
    <n v="98"/>
    <n v="80"/>
    <n v="3.2"/>
    <m/>
    <n v="589.80000000000018"/>
    <s v="Medium Priority/Low Proxy value for money"/>
    <s v="Part of Brownfields PBC recommended programme for Oranga (not the full connection)."/>
  </r>
  <r>
    <n v="140"/>
    <x v="2"/>
    <x v="81"/>
    <x v="2"/>
    <n v="1.9"/>
    <s v="Yes - Committed"/>
    <x v="1"/>
    <s v="Connects to existing painted cycle lanes on Portage Road (east) and Station Road  (pop-up protection)"/>
    <n v="2"/>
    <n v="3"/>
    <s v="AT network - reallocate road space ($1m/km)"/>
    <n v="1"/>
    <n v="1.9"/>
    <x v="1"/>
    <s v="On-street parking; no other strategic modal priorities"/>
    <s v="Medium   "/>
    <n v="3"/>
    <n v="15"/>
    <n v="92.64"/>
    <m/>
    <x v="77"/>
    <n v="92.64"/>
    <n v="80"/>
    <n v="1.9"/>
    <m/>
    <n v="591.70000000000016"/>
    <s v="Low Proxy value for money"/>
    <m/>
  </r>
  <r>
    <n v="152"/>
    <x v="3"/>
    <x v="82"/>
    <x v="3"/>
    <n v="0.8"/>
    <s v="Yes - Committed"/>
    <x v="1"/>
    <s v="Connects to painted cycle lanes on Te Irirangi Dr  (pop-up protection)"/>
    <n v="3"/>
    <n v="5"/>
    <s v="AT network - mid-range ($5m/km)"/>
    <n v="5"/>
    <n v="4"/>
    <x v="2"/>
    <s v="Strategic PT Network; Primary arterial. Wide grass berm and flush median could be repurposed, but some pinchpoints."/>
    <s v="Medium   "/>
    <n v="3"/>
    <n v="15"/>
    <n v="34.6"/>
    <n v="406"/>
    <x v="78"/>
    <n v="88.12"/>
    <n v="80"/>
    <n v="4"/>
    <m/>
    <n v="595.70000000000016"/>
    <s v="High Priority/Low Proxy value for money"/>
    <s v="Potential funding through Central Govt Package"/>
  </r>
  <r>
    <n v="155"/>
    <x v="4"/>
    <x v="83"/>
    <x v="1"/>
    <n v="2.1"/>
    <s v="Yes - Committed"/>
    <x v="1"/>
    <s v="Connects to existing painted lanes on Brown Road  (pop-up protection)"/>
    <n v="2"/>
    <n v="3"/>
    <s v="AT network - reallocate road space ($1m/km)"/>
    <n v="1"/>
    <n v="2.1"/>
    <x v="1"/>
    <s v="On-street parking; no other strategic modal priorities"/>
    <s v="Medium High"/>
    <n v="4"/>
    <n v="16"/>
    <n v="165.60000000000002"/>
    <m/>
    <x v="79"/>
    <n v="165.60000000000002"/>
    <n v="80"/>
    <n v="2.1"/>
    <m/>
    <n v="597.80000000000018"/>
    <s v="High Priority/ok Proxy value for money"/>
    <m/>
  </r>
  <r>
    <n v="156"/>
    <x v="4"/>
    <x v="84"/>
    <x v="1"/>
    <n v="2.4"/>
    <s v="Yes - Committed"/>
    <x v="1"/>
    <s v="Connects to existing painted lanes on Weymouth Road (pop up protection)"/>
    <n v="2"/>
    <n v="3"/>
    <s v="AT network - reallocate road space ($1m/km)"/>
    <n v="1"/>
    <n v="2.4"/>
    <x v="1"/>
    <s v="On-street parking; no other strategic modal priorities"/>
    <s v="Medium High"/>
    <n v="4"/>
    <n v="16"/>
    <n v="165.60000000000002"/>
    <m/>
    <x v="79"/>
    <n v="165.60000000000002"/>
    <n v="80"/>
    <n v="2.4"/>
    <m/>
    <n v="600.20000000000016"/>
    <s v="High Priority/ok Proxy value for money"/>
    <m/>
  </r>
  <r>
    <n v="145"/>
    <x v="24"/>
    <x v="85"/>
    <x v="2"/>
    <n v="1"/>
    <s v="Yes - Existing (Unprotected - unsafe)"/>
    <x v="4"/>
    <s v="Connects to painted lanes on Station Rd and Puhinui Rd"/>
    <n v="3"/>
    <n v="5"/>
    <s v="AT network - reallocate road space ($1m/km)"/>
    <n v="1"/>
    <n v="1"/>
    <x v="1"/>
    <s v="On-street parking; no strategic modal conflicts"/>
    <s v="Low Medium"/>
    <n v="2"/>
    <n v="15"/>
    <n v="170.2"/>
    <n v="58"/>
    <x v="80"/>
    <n v="228.2"/>
    <n v="80"/>
    <n v="1"/>
    <m/>
    <n v="601.20000000000016"/>
    <s v="High Priority/ok Proxy value for money"/>
    <m/>
  </r>
  <r>
    <n v="18"/>
    <x v="16"/>
    <x v="86"/>
    <x v="2"/>
    <n v="1"/>
    <s v="Yes - Existing (Protected - safe)"/>
    <x v="3"/>
    <s v="Connects to off-road shared paths around Albany"/>
    <n v="2"/>
    <n v="3"/>
    <s v="AT network - mid-range ($5m/km)"/>
    <n v="5"/>
    <n v="5"/>
    <x v="2"/>
    <s v="Reallocation potential - Disjointed cycle facilities with some off road cycle lanes"/>
    <s v="Medium   "/>
    <n v="3"/>
    <n v="14"/>
    <n v="123.5"/>
    <n v="139"/>
    <x v="81"/>
    <n v="52.5"/>
    <n v="100"/>
    <n v="5"/>
    <m/>
    <n v="606.20000000000016"/>
    <s v="Medium Priority/Low Proxy value for money"/>
    <m/>
  </r>
  <r>
    <n v="120"/>
    <x v="32"/>
    <x v="87"/>
    <x v="2"/>
    <n v="1.6"/>
    <s v="Yes - Existing (Protected - safe)"/>
    <x v="3"/>
    <s v="Connects to off-road shared path along coast"/>
    <n v="1"/>
    <n v="1"/>
    <s v="AT network - reallocate road space ($1m/km)"/>
    <n v="1"/>
    <n v="1.6"/>
    <x v="1"/>
    <s v="On-street parking; no strategic modal conflicts"/>
    <s v="Low Medium"/>
    <n v="2"/>
    <n v="13"/>
    <n v="148.1"/>
    <m/>
    <x v="82"/>
    <n v="148.1"/>
    <n v="100"/>
    <n v="1.6"/>
    <m/>
    <n v="607.80000000000018"/>
    <s v="Medium Priority/Low Proxy value for money"/>
    <m/>
  </r>
  <r>
    <n v="121"/>
    <x v="32"/>
    <x v="88"/>
    <x v="2"/>
    <n v="1.1000000000000001"/>
    <s v="Yes - Existing (Protected - safe)"/>
    <x v="3"/>
    <s v="Connects to off-road shared path through Lloyd Elsmore Park"/>
    <n v="1"/>
    <n v="1"/>
    <s v="AT network - reallocate road space ($1m/km)"/>
    <n v="1"/>
    <n v="1.1000000000000001"/>
    <x v="1"/>
    <s v="On-street parking; no strategic modal conflicts"/>
    <s v="Medium   "/>
    <n v="3"/>
    <n v="14"/>
    <n v="148.1"/>
    <m/>
    <x v="82"/>
    <n v="148.1"/>
    <n v="100"/>
    <n v="1.1000000000000001"/>
    <m/>
    <n v="608.9000000000002"/>
    <s v="Medium Priority/Low Proxy value for money"/>
    <m/>
  </r>
  <r>
    <n v="26"/>
    <x v="33"/>
    <x v="89"/>
    <x v="2"/>
    <n v="1.3"/>
    <s v="Yes - Committed"/>
    <x v="1"/>
    <s v="Connection to Northern Pathway"/>
    <n v="2"/>
    <n v="3"/>
    <s v="AT network - move kerbs ($10m/km)"/>
    <n v="10"/>
    <n v="13"/>
    <x v="4"/>
    <s v="Primary Arterial; FTN with bus lanes; L2 Freight"/>
    <s v="Low Medium"/>
    <n v="2"/>
    <n v="11"/>
    <n v="68.100000000000009"/>
    <n v="165"/>
    <x v="83"/>
    <n v="23.310000000000002"/>
    <n v="100"/>
    <n v="13"/>
    <m/>
    <n v="621.9000000000002"/>
    <s v="Medium Priority/Low Proxy value for money"/>
    <m/>
  </r>
  <r>
    <n v="29"/>
    <x v="33"/>
    <x v="90"/>
    <x v="3"/>
    <n v="3.6"/>
    <s v="Yes - Committed"/>
    <x v="1"/>
    <s v="Connection to Upper Harbour HW"/>
    <n v="1"/>
    <n v="1"/>
    <s v="Waka Kotahi network - off-road ($20m/km)"/>
    <n v="20"/>
    <n v="72"/>
    <x v="3"/>
    <s v="Off-road shared path "/>
    <s v="High"/>
    <n v="5"/>
    <n v="11"/>
    <n v="68.100000000000009"/>
    <n v="520"/>
    <x v="84"/>
    <n v="29.405000000000005"/>
    <n v="100"/>
    <n v="72"/>
    <m/>
    <n v="693.9000000000002"/>
    <s v="Medium Priority/Low Proxy value for money"/>
    <s v="Potential funding through Central Govt Package"/>
  </r>
  <r>
    <n v="59"/>
    <x v="1"/>
    <x v="91"/>
    <x v="2"/>
    <n v="1"/>
    <s v="No"/>
    <x v="5"/>
    <m/>
    <n v="1"/>
    <n v="1"/>
    <s v="AT network - reallocate road space ($1m/km)"/>
    <n v="1"/>
    <n v="1"/>
    <x v="1"/>
    <s v="Wide lanes; flush median"/>
    <s v="Low Medium"/>
    <n v="2"/>
    <n v="8"/>
    <m/>
    <n v="150"/>
    <x v="85"/>
    <n v="150"/>
    <n v="100"/>
    <n v="1"/>
    <m/>
    <n v="694.9000000000002"/>
    <s v="Low Priority/High Proxy value for money"/>
    <m/>
  </r>
  <r>
    <n v="136"/>
    <x v="2"/>
    <x v="92"/>
    <x v="1"/>
    <n v="1.7"/>
    <s v="Yes - Committed"/>
    <x v="1"/>
    <s v="Connects to Māngere Access Improvements project"/>
    <n v="1"/>
    <n v="1"/>
    <s v="AT network - reallocate road space ($1m/km)"/>
    <n v="1"/>
    <n v="1.7"/>
    <x v="1"/>
    <s v="Flush median; on-street parking; no other strategic modal priorities"/>
    <s v="Medium   "/>
    <n v="3"/>
    <n v="13"/>
    <n v="92.64"/>
    <m/>
    <x v="77"/>
    <n v="92.64"/>
    <n v="100"/>
    <n v="1.7"/>
    <m/>
    <n v="696.60000000000025"/>
    <s v="Medium Priority/Low Proxy value for money"/>
    <s v="Part of Brownfields PBC recommended programme for Māngere."/>
  </r>
  <r>
    <n v="149"/>
    <x v="3"/>
    <x v="93"/>
    <x v="3"/>
    <n v="3"/>
    <s v="Yes - Committed"/>
    <x v="1"/>
    <s v="Connects to committed SH20B Puhinui Rd shared path"/>
    <n v="2"/>
    <n v="3"/>
    <s v="Waka Kotahi network - off-road ($20m/km)"/>
    <n v="20"/>
    <n v="60"/>
    <x v="3"/>
    <s v="Off-road shared path "/>
    <s v="High"/>
    <n v="5"/>
    <n v="13"/>
    <n v="34.6"/>
    <n v="328"/>
    <x v="86"/>
    <n v="18.130000000000003"/>
    <n v="100"/>
    <n v="60"/>
    <m/>
    <n v="756.60000000000025"/>
    <s v="Medium Priority/Low Proxy value for money"/>
    <s v="Potential funding through Central Govt Package. Network Optimisation SSBC recommending Cavendish on-ramp to Puhinui active modes improvements."/>
  </r>
  <r>
    <n v="150"/>
    <x v="3"/>
    <x v="94"/>
    <x v="3"/>
    <n v="1.5"/>
    <s v="Yes - Committed"/>
    <x v="1"/>
    <s v="Connects to painted cycle lanes on Manukau Station Rd  (pop-up protection)"/>
    <n v="3"/>
    <n v="5"/>
    <s v="AT network - move kerbs ($10m/km)"/>
    <n v="10"/>
    <n v="15"/>
    <x v="4"/>
    <s v="Strategic PT Network with existing bus lanes; L2 Freight; Primary arterial along Redoubt Rd. Wide grass berm and flush median could be repurposed. "/>
    <s v="Medium   "/>
    <n v="3"/>
    <n v="14"/>
    <n v="34.6"/>
    <n v="326"/>
    <x v="87"/>
    <n v="36.060000000000009"/>
    <n v="100"/>
    <n v="15"/>
    <m/>
    <n v="771.60000000000025"/>
    <s v="Medium Priority/Low Proxy value for money"/>
    <s v="Potential funding through Central Govt Package"/>
  </r>
  <r>
    <n v="151"/>
    <x v="3"/>
    <x v="95"/>
    <x v="2"/>
    <n v="1.5"/>
    <s v="No"/>
    <x v="5"/>
    <m/>
    <n v="2"/>
    <n v="3"/>
    <s v="AT network - reallocate road space ($1m/km)"/>
    <n v="1"/>
    <n v="1.5"/>
    <x v="1"/>
    <s v="Primary Arterial; L3 Freight but on-street parking could be reallocated"/>
    <s v="Low Medium"/>
    <n v="2"/>
    <n v="10"/>
    <n v="34.6"/>
    <n v="238"/>
    <x v="88"/>
    <n v="272.60000000000002"/>
    <n v="100"/>
    <n v="1.5"/>
    <m/>
    <n v="773.10000000000025"/>
    <s v="Low Priority/High Proxy value for money"/>
    <m/>
  </r>
  <r>
    <n v="157"/>
    <x v="4"/>
    <x v="96"/>
    <x v="1"/>
    <n v="1.2"/>
    <s v="Yes - Committed"/>
    <x v="1"/>
    <s v="Connects to existing painted lanes on Weymouth Road (pop up protection)"/>
    <n v="2"/>
    <n v="3"/>
    <s v="AT network - reallocate road space ($1m/km)"/>
    <n v="1"/>
    <n v="1.2"/>
    <x v="1"/>
    <s v="On-street parking; wide lanes; no other strategic modal priorities"/>
    <s v="Low Medium"/>
    <n v="2"/>
    <n v="14"/>
    <n v="165.60000000000002"/>
    <m/>
    <x v="79"/>
    <n v="165.60000000000002"/>
    <n v="100"/>
    <n v="1.2"/>
    <m/>
    <n v="774.3000000000003"/>
    <s v="Medium Priority/Low Proxy value for money"/>
    <m/>
  </r>
  <r>
    <n v="160"/>
    <x v="4"/>
    <x v="97"/>
    <x v="2"/>
    <n v="1.4"/>
    <s v="Yes - Committed"/>
    <x v="1"/>
    <s v="Connection to planned ConCom GSR Corridor (pop-up protection)"/>
    <n v="1"/>
    <n v="1"/>
    <s v="AT network - reallocate road space ($1m/km)"/>
    <n v="1"/>
    <n v="1.4"/>
    <x v="1"/>
    <s v="On-street parking; but may require structure to cross rail line"/>
    <s v="Medium   "/>
    <n v="3"/>
    <n v="13"/>
    <n v="165.60000000000002"/>
    <n v="80"/>
    <x v="89"/>
    <n v="245.60000000000005"/>
    <n v="100"/>
    <n v="1.4"/>
    <m/>
    <n v="775.70000000000027"/>
    <s v="Medium Priority/Low Proxy value for money"/>
    <m/>
  </r>
  <r>
    <n v="67"/>
    <x v="7"/>
    <x v="98"/>
    <x v="2"/>
    <n v="1"/>
    <s v="No"/>
    <x v="5"/>
    <m/>
    <n v="2"/>
    <n v="3"/>
    <s v="AT network - reallocate road space ($1m/km)"/>
    <n v="1"/>
    <n v="1"/>
    <x v="1"/>
    <s v="On-street parking"/>
    <s v="Low  "/>
    <n v="1"/>
    <n v="9"/>
    <m/>
    <n v="310"/>
    <x v="57"/>
    <n v="310"/>
    <n v="100"/>
    <n v="1"/>
    <m/>
    <n v="776.70000000000027"/>
    <s v="Low Priority/High Proxy value for money"/>
    <m/>
  </r>
  <r>
    <n v="131"/>
    <x v="22"/>
    <x v="99"/>
    <x v="1"/>
    <n v="0.5"/>
    <s v="Yes - Existing (Protected - safe)"/>
    <x v="3"/>
    <s v="Connects to off-road shared path on Te Irirangi Dr"/>
    <n v="1"/>
    <n v="1"/>
    <s v="AT network - reallocate road space ($1m/km)"/>
    <n v="1"/>
    <n v="0.5"/>
    <x v="1"/>
    <s v="Traffic calming; LTN"/>
    <s v="Low  "/>
    <n v="1"/>
    <n v="12"/>
    <n v="67.2"/>
    <m/>
    <x v="40"/>
    <n v="67.2"/>
    <n v="100"/>
    <n v="0.5"/>
    <m/>
    <n v="777.20000000000027"/>
    <s v="Medium Priority/Low Proxy value for money"/>
    <m/>
  </r>
  <r>
    <n v="169"/>
    <x v="26"/>
    <x v="100"/>
    <x v="2"/>
    <n v="2.5"/>
    <s v="No"/>
    <x v="5"/>
    <m/>
    <n v="2"/>
    <n v="3"/>
    <s v="AT network - reallocate road space ($1m/km)"/>
    <n v="1"/>
    <n v="2.5"/>
    <x v="1"/>
    <s v="On-street parking; no other strategic modal priorities"/>
    <s v="Low  "/>
    <n v="1"/>
    <n v="9"/>
    <n v="58.350000000000009"/>
    <n v="133"/>
    <x v="90"/>
    <n v="191.35000000000002"/>
    <n v="100"/>
    <n v="2.5"/>
    <m/>
    <n v="779.70000000000027"/>
    <s v="Low Priority/High Proxy value for money"/>
    <m/>
  </r>
  <r>
    <n v="170"/>
    <x v="26"/>
    <x v="101"/>
    <x v="2"/>
    <n v="3.1"/>
    <s v="Yes - Planned"/>
    <x v="2"/>
    <s v="Connection to planned ConCom GSR Corridor"/>
    <n v="2"/>
    <n v="3"/>
    <s v="AT network - reallocate road space ($1m/km)"/>
    <n v="1"/>
    <n v="3.1"/>
    <x v="1"/>
    <s v="On-street parking; wide lanes; pinchpoints in sections"/>
    <s v="Low Medium"/>
    <n v="2"/>
    <n v="11"/>
    <n v="58.350000000000009"/>
    <n v="81"/>
    <x v="91"/>
    <n v="139.35000000000002"/>
    <n v="100"/>
    <n v="3.1"/>
    <m/>
    <n v="782.8000000000003"/>
    <s v="Medium Priority/Low Proxy value for money"/>
    <m/>
  </r>
  <r>
    <n v="171"/>
    <x v="26"/>
    <x v="102"/>
    <x v="2"/>
    <n v="3.8"/>
    <s v="Yes - Planned"/>
    <x v="2"/>
    <s v="Connection to planned ConCom GSR Corridor"/>
    <n v="3"/>
    <n v="5"/>
    <s v="AT network - mid-range ($5m/km)"/>
    <n v="5"/>
    <n v="19"/>
    <x v="2"/>
    <s v="On-street parking; wide lanes; multiple strategic modal priorities"/>
    <s v="Medium   "/>
    <n v="3"/>
    <n v="12"/>
    <n v="58.350000000000009"/>
    <n v="304"/>
    <x v="92"/>
    <n v="72.47"/>
    <n v="100"/>
    <n v="19"/>
    <m/>
    <n v="801.8000000000003"/>
    <s v="Medium Priority/Low Proxy value for money"/>
    <m/>
  </r>
  <r>
    <n v="141"/>
    <x v="24"/>
    <x v="103"/>
    <x v="1"/>
    <n v="2.5"/>
    <s v="Yes - Committed"/>
    <x v="1"/>
    <s v="Connects to painted cycle lanes on St George St  (pop-up protection)"/>
    <n v="1"/>
    <n v="1"/>
    <s v="AT network - reallocate road space ($1m/km)"/>
    <n v="1"/>
    <n v="2.5"/>
    <x v="1"/>
    <s v="Pinch points along Hospital Rd likely to require kerb movements. On-street parking on Swaffield and Coronation could be reallocated. No strategic modal conflicts. "/>
    <s v="Low Medium"/>
    <n v="2"/>
    <n v="12"/>
    <n v="170.2"/>
    <m/>
    <x v="93"/>
    <n v="170.2"/>
    <n v="100"/>
    <n v="2.5"/>
    <m/>
    <n v="804.3000000000003"/>
    <s v="Medium Priority/ok Proxy value for money"/>
    <m/>
  </r>
  <r>
    <n v="142"/>
    <x v="24"/>
    <x v="104"/>
    <x v="1"/>
    <n v="1.1000000000000001"/>
    <s v="Yes - Committed"/>
    <x v="1"/>
    <s v="Connects to existing painted lanes on Portage Road (east) and Station Road  (pop-up protection)"/>
    <n v="2"/>
    <n v="3"/>
    <s v="AT network - reallocate road space ($1m/km)"/>
    <n v="1"/>
    <n v="1.1000000000000001"/>
    <x v="1"/>
    <s v="Flush median; on-street parking; no strategic modal conflicts"/>
    <s v="Low Medium"/>
    <n v="2"/>
    <n v="14"/>
    <n v="170.2"/>
    <m/>
    <x v="93"/>
    <n v="170.2"/>
    <n v="100"/>
    <n v="1.1000000000000001"/>
    <m/>
    <n v="805.40000000000032"/>
    <s v="Medium Priority/ok Proxy value for money"/>
    <m/>
  </r>
  <r>
    <n v="143"/>
    <x v="24"/>
    <x v="105"/>
    <x v="1"/>
    <n v="1.8"/>
    <s v="No"/>
    <x v="5"/>
    <m/>
    <n v="2"/>
    <n v="3"/>
    <s v="AT network - reallocate road space ($1m/km)"/>
    <n v="1"/>
    <n v="1.8"/>
    <x v="1"/>
    <s v="Flush median; on-street parking; pinchpoints in sections; no strategic modal conflicts"/>
    <s v="Medium   "/>
    <n v="3"/>
    <n v="11"/>
    <n v="170.2"/>
    <m/>
    <x v="93"/>
    <n v="170.20000000000002"/>
    <n v="100"/>
    <n v="1.8"/>
    <m/>
    <n v="807.20000000000027"/>
    <s v="Medium Priority/ok Proxy value for money"/>
    <m/>
  </r>
  <r>
    <n v="146"/>
    <x v="24"/>
    <x v="106"/>
    <x v="2"/>
    <n v="1.2"/>
    <s v="Yes - Committed"/>
    <x v="1"/>
    <s v="Connects to existing painted lanes on Station Road and Puhinui Rd. Cycle facilities are being considered on Tavern Lane by Eke Panuku as part of the Old Papatoetoe Masterplan.  (pop-up protection)"/>
    <n v="2"/>
    <n v="3"/>
    <s v="AT network - reallocate road space ($1m/km)"/>
    <n v="1"/>
    <n v="1.2"/>
    <x v="1"/>
    <s v="On-street parking; no strategic modal conflicts"/>
    <s v="Low Medium"/>
    <n v="2"/>
    <n v="14"/>
    <n v="170.2"/>
    <n v="32"/>
    <x v="94"/>
    <n v="202.2"/>
    <n v="100"/>
    <n v="1.2"/>
    <m/>
    <n v="808.40000000000032"/>
    <s v="Medium Priority/ok Proxy value for money"/>
    <m/>
  </r>
  <r>
    <n v="41"/>
    <x v="14"/>
    <x v="107"/>
    <x v="2"/>
    <n v="1"/>
    <s v="Yes - Committed"/>
    <x v="1"/>
    <s v="Connects to existing painted lanes (Lake Road improvements project)"/>
    <n v="2"/>
    <n v="3"/>
    <s v="AT network - move kerbs ($10m/km)"/>
    <n v="10"/>
    <n v="10"/>
    <x v="4"/>
    <s v="FTN route but no existing/planned bus lanes; on-street parking but pinchpoints"/>
    <s v="Medium High"/>
    <n v="4"/>
    <n v="13"/>
    <m/>
    <n v="276"/>
    <x v="95"/>
    <n v="27.6"/>
    <n v="100"/>
    <n v="10"/>
    <m/>
    <n v="818.40000000000032"/>
    <s v="Medium Priority/Low Proxy value for money"/>
    <m/>
  </r>
  <r>
    <n v="42"/>
    <x v="8"/>
    <x v="108"/>
    <x v="3"/>
    <n v="4.5"/>
    <s v="Yes - Existing (Protected - safe)"/>
    <x v="3"/>
    <s v="Connection to Upper Harbour motorway shared path"/>
    <n v="1"/>
    <n v="1"/>
    <s v="Waka Kotahi network - off-road ($20m/km)"/>
    <n v="20"/>
    <n v="90"/>
    <x v="3"/>
    <s v="Off-road shared path "/>
    <s v="High"/>
    <n v="5"/>
    <n v="12"/>
    <m/>
    <n v="434"/>
    <x v="96"/>
    <n v="21.7"/>
    <n v="100"/>
    <n v="90"/>
    <m/>
    <n v="908.40000000000032"/>
    <s v="Medium Priority/Low Proxy value for money"/>
    <s v="Potential funding through Central Govt Package"/>
  </r>
  <r>
    <n v="43"/>
    <x v="8"/>
    <x v="109"/>
    <x v="3"/>
    <n v="3.5"/>
    <s v="Yes - Existing (Protected - safe)"/>
    <x v="3"/>
    <s v="Connects to existing NW shared path"/>
    <n v="2"/>
    <n v="3"/>
    <s v="Waka Kotahi network - off-road ($20m/km)"/>
    <n v="20"/>
    <n v="70"/>
    <x v="3"/>
    <s v="Off-road shared path "/>
    <s v="High"/>
    <n v="5"/>
    <n v="14"/>
    <m/>
    <n v="947"/>
    <x v="97"/>
    <n v="47.35"/>
    <n v="100"/>
    <n v="70"/>
    <m/>
    <n v="978.40000000000032"/>
    <s v="Medium Priority/Low Proxy value for money"/>
    <s v="Potential funding through Central Govt Package"/>
  </r>
  <r>
    <n v="45"/>
    <x v="8"/>
    <x v="110"/>
    <x v="2"/>
    <n v="2"/>
    <s v="Yes - Existing (Protected - safe)"/>
    <x v="3"/>
    <s v="Connects to off-road shared path on Brigham Creek Rd"/>
    <n v="2"/>
    <n v="3"/>
    <s v="AT network - mid-range ($5m/km)"/>
    <n v="5"/>
    <n v="10"/>
    <x v="2"/>
    <s v="GT and Freight function; pinchpoints at bridges"/>
    <s v="Low Medium"/>
    <n v="2"/>
    <n v="13"/>
    <m/>
    <n v="230"/>
    <x v="98"/>
    <n v="46"/>
    <n v="100"/>
    <n v="10"/>
    <m/>
    <n v="988.40000000000032"/>
    <s v="Medium Priority/Low Proxy value for money"/>
    <s v="Supporting Growth alignment"/>
  </r>
  <r>
    <n v="47"/>
    <x v="8"/>
    <x v="111"/>
    <x v="2"/>
    <n v="3.1"/>
    <s v="No"/>
    <x v="5"/>
    <m/>
    <n v="3"/>
    <n v="5"/>
    <s v="AT network - reallocate road space ($1m/km)"/>
    <n v="1"/>
    <n v="3.1"/>
    <x v="1"/>
    <s v="On-street parking"/>
    <s v="Low Medium"/>
    <n v="2"/>
    <n v="12"/>
    <m/>
    <n v="184"/>
    <x v="99"/>
    <n v="184"/>
    <n v="100"/>
    <n v="3.1"/>
    <m/>
    <n v="991.50000000000034"/>
    <s v="Low Priority"/>
    <s v="Supporting Growth alignment"/>
  </r>
  <r>
    <n v="22"/>
    <x v="16"/>
    <x v="112"/>
    <x v="2"/>
    <n v="0.4"/>
    <s v="Yes - Committed"/>
    <x v="1"/>
    <s v="Connection to Northern Pathway"/>
    <n v="2"/>
    <n v="3"/>
    <s v="AT network - move kerbs ($10m/km)"/>
    <n v="10"/>
    <n v="4"/>
    <x v="4"/>
    <s v="Pinchpoint on SH1 overbridge"/>
    <s v="Low  "/>
    <n v="1"/>
    <n v="10"/>
    <n v="123.5"/>
    <n v="156"/>
    <x v="100"/>
    <n v="27.950000000000003"/>
    <n v="150"/>
    <n v="4"/>
    <m/>
    <n v="995.50000000000034"/>
    <s v="Prioritisation score &lt;10"/>
    <s v="May be upgraded as part of Northern Pathway (Albany-Constellation)"/>
  </r>
  <r>
    <n v="72"/>
    <x v="6"/>
    <x v="113"/>
    <x v="1"/>
    <n v="2.8"/>
    <s v="Yes - Planned"/>
    <x v="2"/>
    <s v="Connects to planned ConCom corridors"/>
    <n v="1"/>
    <n v="1"/>
    <s v="AT network - mid-range ($5m/km)"/>
    <n v="5"/>
    <n v="14"/>
    <x v="2"/>
    <s v="Potential to reallocate roadspace with some need for kerb movements at pinchpoints"/>
    <s v="Medium   "/>
    <n v="3"/>
    <n v="8"/>
    <n v="36.1"/>
    <n v="128"/>
    <x v="101"/>
    <n v="32.82"/>
    <n v="150"/>
    <n v="14"/>
    <m/>
    <n v="1009.5000000000003"/>
    <s v="Prioritisation score &lt;10"/>
    <m/>
  </r>
  <r>
    <n v="118"/>
    <x v="32"/>
    <x v="114"/>
    <x v="1"/>
    <n v="2.8"/>
    <s v="No"/>
    <x v="5"/>
    <m/>
    <n v="1"/>
    <n v="1"/>
    <s v="AT network - reallocate road space ($1m/km)"/>
    <n v="1"/>
    <n v="2.8"/>
    <x v="1"/>
    <s v="On-street parking; no strategic modal conflicts"/>
    <s v="Medium   "/>
    <n v="3"/>
    <n v="9"/>
    <n v="148.1"/>
    <m/>
    <x v="82"/>
    <n v="148.1"/>
    <n v="150"/>
    <n v="2.8"/>
    <m/>
    <n v="1012.3000000000003"/>
    <s v="Prioritisation score &lt;10"/>
    <m/>
  </r>
  <r>
    <n v="119"/>
    <x v="32"/>
    <x v="115"/>
    <x v="1"/>
    <n v="1.3"/>
    <s v="No"/>
    <x v="5"/>
    <m/>
    <n v="1"/>
    <n v="1"/>
    <s v="AT network - reallocate road space ($1m/km)"/>
    <n v="1"/>
    <n v="1.3"/>
    <x v="1"/>
    <s v="On-street parking; no strategic modal conflicts; existing off-road shared path"/>
    <s v="Low  "/>
    <n v="1"/>
    <n v="7"/>
    <n v="148.1"/>
    <m/>
    <x v="82"/>
    <n v="148.1"/>
    <n v="150"/>
    <n v="1.3"/>
    <m/>
    <n v="1013.6000000000003"/>
    <s v="Prioritisation score &lt;10"/>
    <m/>
  </r>
  <r>
    <n v="122"/>
    <x v="32"/>
    <x v="116"/>
    <x v="1"/>
    <n v="1.2"/>
    <s v="Yes - Planned"/>
    <x v="2"/>
    <s v="Connection to planned facility along Pakuranga Rd"/>
    <n v="1"/>
    <n v="1"/>
    <s v="AT network - reallocate road space ($1m/km)"/>
    <n v="1"/>
    <n v="1.2"/>
    <x v="1"/>
    <s v="On-street parking; wide lanes; no strategic modal conflicts"/>
    <s v="Low Medium"/>
    <n v="2"/>
    <n v="9"/>
    <n v="148.1"/>
    <m/>
    <x v="82"/>
    <n v="148.1"/>
    <n v="150"/>
    <n v="1.2"/>
    <m/>
    <n v="1014.8000000000003"/>
    <s v="Prioritisation score &lt;10"/>
    <m/>
  </r>
  <r>
    <n v="27"/>
    <x v="33"/>
    <x v="117"/>
    <x v="1"/>
    <n v="1.8"/>
    <s v="Yes - Committed"/>
    <x v="1"/>
    <s v="Connects to existing painted lanes on Glenfield Rd  (pop-up protection)"/>
    <n v="2"/>
    <n v="3"/>
    <s v="AT network - reallocate road space ($1m/km)"/>
    <n v="1"/>
    <n v="1.8"/>
    <x v="1"/>
    <s v="FTN with no bus lanes planned; on-street parking; flush median"/>
    <s v="Low Medium"/>
    <n v="2"/>
    <n v="14"/>
    <n v="68.100000000000009"/>
    <m/>
    <x v="102"/>
    <n v="68.100000000000009"/>
    <n v="150"/>
    <n v="1.8"/>
    <m/>
    <n v="1016.6000000000003"/>
    <s v="Low demand"/>
    <m/>
  </r>
  <r>
    <n v="173"/>
    <x v="34"/>
    <x v="118"/>
    <x v="2"/>
    <n v="2.1"/>
    <s v="Yes - Committed"/>
    <x v="1"/>
    <s v="Connection to SH1 P2D shared path (NZUP)"/>
    <n v="1"/>
    <n v="1"/>
    <s v="AT network - mid-range ($5m/km)"/>
    <n v="5"/>
    <n v="10.5"/>
    <x v="2"/>
    <s v="Cycle provision as part of road upgrade"/>
    <s v="Low  "/>
    <n v="1"/>
    <n v="9"/>
    <m/>
    <n v="154"/>
    <x v="103"/>
    <n v="30.800000000000004"/>
    <n v="150"/>
    <n v="10.5"/>
    <m/>
    <n v="1027.1000000000004"/>
    <s v="Prioritisation score &lt;10"/>
    <s v="Supporting Growth alignment"/>
  </r>
  <r>
    <n v="174"/>
    <x v="34"/>
    <x v="119"/>
    <x v="2"/>
    <n v="2.4"/>
    <s v="No"/>
    <x v="5"/>
    <m/>
    <n v="1"/>
    <n v="1"/>
    <s v="AT network - mid-range ($5m/km)"/>
    <n v="5"/>
    <n v="12"/>
    <x v="2"/>
    <s v="Cycle provision as part of road upgrade"/>
    <s v="Low  "/>
    <n v="1"/>
    <n v="5"/>
    <m/>
    <n v="25"/>
    <x v="104"/>
    <n v="5"/>
    <n v="150"/>
    <n v="12"/>
    <m/>
    <n v="1039.1000000000004"/>
    <s v="Prioritisation score &lt;10"/>
    <s v="Supporting Growth alignment"/>
  </r>
  <r>
    <n v="106"/>
    <x v="31"/>
    <x v="120"/>
    <x v="1"/>
    <n v="1.3"/>
    <s v="Yes - Planned"/>
    <x v="2"/>
    <s v="Connects to planned ConCom EP Highway Corridor"/>
    <n v="1"/>
    <n v="1"/>
    <s v="AT network - reallocate road space ($1m/km)"/>
    <n v="1"/>
    <n v="1.3"/>
    <x v="1"/>
    <s v="Flush median. No other modal priorities."/>
    <s v="Medium   "/>
    <n v="3"/>
    <n v="10"/>
    <n v="77.2"/>
    <m/>
    <x v="75"/>
    <n v="77.2"/>
    <n v="150"/>
    <n v="1.3"/>
    <m/>
    <n v="1040.4000000000003"/>
    <s v="Prioritisation score &lt;10"/>
    <m/>
  </r>
  <r>
    <n v="30"/>
    <x v="35"/>
    <x v="121"/>
    <x v="2"/>
    <n v="0.8"/>
    <s v="Yes - Existing (Protected - safe)"/>
    <x v="3"/>
    <s v="Connection to Upper Harbour motorway shared path"/>
    <n v="1"/>
    <n v="1"/>
    <s v="AT network - reallocate road space ($1m/km)"/>
    <n v="1"/>
    <n v="0.8"/>
    <x v="1"/>
    <s v="On-street parking"/>
    <s v="Low  "/>
    <n v="1"/>
    <n v="12"/>
    <m/>
    <m/>
    <x v="0"/>
    <n v="20"/>
    <n v="150"/>
    <n v="0.8"/>
    <m/>
    <n v="1041.2000000000003"/>
    <s v="Low demand"/>
    <m/>
  </r>
  <r>
    <n v="132"/>
    <x v="2"/>
    <x v="122"/>
    <x v="3"/>
    <n v="0.7"/>
    <s v="Yes - Existing (Protected - safe)"/>
    <x v="3"/>
    <s v="Connects to old Māngere bridge"/>
    <n v="1"/>
    <n v="1"/>
    <s v="AT network - move kerbs ($10m/km)"/>
    <n v="10"/>
    <n v="7"/>
    <x v="4"/>
    <s v="Bus lanes proposed along corridor, which would take current on-street parking, therefore kerb movement likely"/>
    <s v="Low Medium"/>
    <n v="2"/>
    <n v="10"/>
    <n v="92.64"/>
    <n v="26"/>
    <x v="105"/>
    <n v="11.864000000000001"/>
    <n v="150"/>
    <n v="7"/>
    <m/>
    <n v="1048.2000000000003"/>
    <s v="Prioritisation score &lt;10"/>
    <s v="Part of Māngere town access improvements"/>
  </r>
  <r>
    <n v="133"/>
    <x v="2"/>
    <x v="123"/>
    <x v="3"/>
    <n v="0.3"/>
    <s v="Yes - Committed"/>
    <x v="1"/>
    <s v="Connects to Māngere Access Improvements project"/>
    <n v="1"/>
    <n v="1"/>
    <s v="AT network - move kerbs ($10m/km)"/>
    <n v="10"/>
    <n v="3"/>
    <x v="4"/>
    <s v="Bus only lane approaching NB on-ramp. Kerb movement likely."/>
    <s v="Low Medium"/>
    <n v="2"/>
    <n v="9"/>
    <n v="92.64"/>
    <n v="286"/>
    <x v="106"/>
    <n v="37.863999999999997"/>
    <n v="150"/>
    <n v="3"/>
    <m/>
    <n v="1051.2000000000003"/>
    <s v="Prioritisation score &lt;10"/>
    <s v="Potential funding through Central Govt Package"/>
  </r>
  <r>
    <n v="138"/>
    <x v="2"/>
    <x v="124"/>
    <x v="2"/>
    <n v="1.7"/>
    <s v="Yes - Planned"/>
    <x v="2"/>
    <s v="Connects to planned ConCom Massey Rd Corridor"/>
    <n v="2"/>
    <n v="3"/>
    <s v="AT network - reallocate road space ($1m/km)"/>
    <n v="1"/>
    <n v="1.7"/>
    <x v="1"/>
    <s v="Wide lanes; no other strategic modal priorities"/>
    <s v="Low Medium"/>
    <n v="2"/>
    <n v="11"/>
    <n v="92.64"/>
    <n v="29"/>
    <x v="107"/>
    <n v="121.63999999999999"/>
    <n v="150"/>
    <n v="1.7"/>
    <m/>
    <n v="1052.9000000000003"/>
    <s v="Low Priority/Proxy value for money"/>
    <m/>
  </r>
  <r>
    <n v="139"/>
    <x v="2"/>
    <x v="125"/>
    <x v="2"/>
    <n v="0.9"/>
    <s v="Yes - Planned"/>
    <x v="2"/>
    <s v="Connects to planned ConCom Massey Rd Corridor"/>
    <n v="2"/>
    <n v="3"/>
    <s v="AT network - reallocate road space ($1m/km)"/>
    <n v="1"/>
    <n v="0.9"/>
    <x v="1"/>
    <s v="On-street parking; no other strategic modal priorities"/>
    <s v="Medium   "/>
    <n v="3"/>
    <n v="12"/>
    <n v="92.64"/>
    <m/>
    <x v="77"/>
    <n v="92.64"/>
    <n v="150"/>
    <n v="0.9"/>
    <m/>
    <n v="1053.8000000000004"/>
    <s v="Low Priority/Proxy value for money"/>
    <m/>
  </r>
  <r>
    <n v="159"/>
    <x v="4"/>
    <x v="126"/>
    <x v="2"/>
    <n v="2"/>
    <s v="Yes - Committed"/>
    <x v="1"/>
    <s v="Connection to planned ConCom GSR Corridor (pop-up protection)"/>
    <n v="1"/>
    <n v="1"/>
    <s v="AT network - mid-range ($5m/km)"/>
    <n v="5"/>
    <n v="10"/>
    <x v="2"/>
    <s v="Requires new off-road facility and structure to cross SH1"/>
    <s v="Low Medium"/>
    <n v="2"/>
    <n v="10"/>
    <n v="165.60000000000002"/>
    <n v="171"/>
    <x v="108"/>
    <n v="67.320000000000007"/>
    <n v="150"/>
    <n v="10"/>
    <m/>
    <n v="1063.8000000000004"/>
    <s v="Prioritisation score &lt;10"/>
    <m/>
  </r>
  <r>
    <n v="75"/>
    <x v="20"/>
    <x v="127"/>
    <x v="1"/>
    <n v="1.5"/>
    <s v="Yes - Existing (Unprotected - unsafe)"/>
    <x v="4"/>
    <s v="Connects to existing painted lanes on Mt Albert Rd"/>
    <n v="1"/>
    <n v="1"/>
    <s v="AT network - reallocate road space ($1m/km)"/>
    <n v="1"/>
    <n v="1.5"/>
    <x v="1"/>
    <s v="On street parking"/>
    <s v="Low  "/>
    <n v="1"/>
    <n v="10"/>
    <n v="87.600000000000009"/>
    <m/>
    <x v="109"/>
    <n v="87.600000000000009"/>
    <n v="150"/>
    <n v="1.5"/>
    <m/>
    <n v="1065.3000000000004"/>
    <s v="Prioritisation score &lt;10"/>
    <m/>
  </r>
  <r>
    <n v="163"/>
    <x v="26"/>
    <x v="128"/>
    <x v="1"/>
    <n v="1.5"/>
    <s v="No"/>
    <x v="5"/>
    <m/>
    <n v="1"/>
    <n v="1"/>
    <s v="AT network - mid-range ($5m/km)"/>
    <n v="5"/>
    <n v="7.5"/>
    <x v="2"/>
    <s v="Some surface treatment needed as single lane in each direction"/>
    <s v="Low Medium"/>
    <n v="2"/>
    <n v="6"/>
    <n v="58.350000000000009"/>
    <n v="137"/>
    <x v="110"/>
    <n v="39.070000000000007"/>
    <n v="150"/>
    <n v="7.5"/>
    <m/>
    <n v="1072.8000000000004"/>
    <s v="Prioritisation score &lt;10"/>
    <m/>
  </r>
  <r>
    <n v="166"/>
    <x v="26"/>
    <x v="129"/>
    <x v="2"/>
    <n v="1.8"/>
    <s v="No"/>
    <x v="5"/>
    <m/>
    <n v="1"/>
    <n v="1"/>
    <s v="AT network - mid-range ($5m/km)"/>
    <n v="5"/>
    <n v="9"/>
    <x v="2"/>
    <s v="Some surface treatment needed as single lane in each direction. Potential off-road shared path on east side."/>
    <s v="Medium   "/>
    <n v="3"/>
    <n v="7"/>
    <n v="58.350000000000009"/>
    <n v="107"/>
    <x v="111"/>
    <n v="33.070000000000007"/>
    <n v="150"/>
    <n v="9"/>
    <m/>
    <n v="1081.8000000000004"/>
    <s v="Prioritisation score &lt;10"/>
    <m/>
  </r>
  <r>
    <n v="168"/>
    <x v="26"/>
    <x v="130"/>
    <x v="2"/>
    <n v="0.5"/>
    <s v="No"/>
    <x v="5"/>
    <m/>
    <n v="1"/>
    <n v="1"/>
    <s v="AT network - reallocate road space ($1m/km)"/>
    <n v="1"/>
    <n v="0.5"/>
    <x v="1"/>
    <s v="On-street parking; no other strategic modal priorities"/>
    <s v="Low  "/>
    <n v="1"/>
    <n v="7"/>
    <n v="58.350000000000009"/>
    <n v="64"/>
    <x v="112"/>
    <n v="122.35000000000001"/>
    <n v="150"/>
    <n v="0.5"/>
    <m/>
    <n v="1082.3000000000004"/>
    <s v="Prioritisation score &lt;10"/>
    <m/>
  </r>
  <r>
    <n v="175"/>
    <x v="36"/>
    <x v="131"/>
    <x v="2"/>
    <n v="15"/>
    <s v="Yes - Planned"/>
    <x v="2"/>
    <s v="Connection to planned NIMT shared path"/>
    <n v="2"/>
    <n v="3"/>
    <s v="AT network - mid-range ($5m/km)"/>
    <n v="5"/>
    <n v="75"/>
    <x v="2"/>
    <s v="Cycle provision as part of roading project"/>
    <s v="Low  "/>
    <n v="1"/>
    <n v="8"/>
    <m/>
    <m/>
    <x v="0"/>
    <n v="4"/>
    <n v="150"/>
    <n v="75"/>
    <m/>
    <n v="1157.3000000000004"/>
    <s v="Prioritisation score &lt;10"/>
    <s v="Supporting Growth alignment"/>
  </r>
  <r>
    <n v="14"/>
    <x v="37"/>
    <x v="132"/>
    <x v="2"/>
    <n v="2"/>
    <s v="No"/>
    <x v="5"/>
    <m/>
    <n v="2"/>
    <n v="3"/>
    <s v="AT network - reallocate road space ($1m/km)"/>
    <n v="1"/>
    <n v="2"/>
    <x v="1"/>
    <s v="New road with narrow painted cycle lanes - pop-up protection programme?"/>
    <s v="Low Medium"/>
    <n v="2"/>
    <n v="10"/>
    <n v="42.6"/>
    <m/>
    <x v="113"/>
    <n v="42.6"/>
    <n v="150"/>
    <n v="2"/>
    <m/>
    <n v="1159.3000000000004"/>
    <s v="Prioritisation score &lt;10"/>
    <m/>
  </r>
  <r>
    <n v="15"/>
    <x v="37"/>
    <x v="133"/>
    <x v="2"/>
    <n v="0.8"/>
    <s v="Yes - Existing (Protected - safe)"/>
    <x v="3"/>
    <s v="Connects to off-road shared path on HCH"/>
    <n v="2"/>
    <n v="3"/>
    <s v="AT network - reallocate road space ($1m/km)"/>
    <n v="1"/>
    <n v="0.8"/>
    <x v="1"/>
    <s v="On-street parking"/>
    <s v="Low  "/>
    <n v="1"/>
    <n v="14"/>
    <n v="42.6"/>
    <m/>
    <x v="113"/>
    <n v="42.6"/>
    <n v="150"/>
    <n v="0.8"/>
    <m/>
    <n v="1160.1000000000004"/>
    <s v="Low demand"/>
    <m/>
  </r>
  <r>
    <n v="16"/>
    <x v="37"/>
    <x v="134"/>
    <x v="2"/>
    <n v="1"/>
    <s v="Yes - Existing (Protected - safe)"/>
    <x v="3"/>
    <s v="Connects to off-road shared path on HCH"/>
    <n v="2"/>
    <n v="3"/>
    <s v="AT network - move kerbs ($10m/km)"/>
    <n v="10"/>
    <n v="10"/>
    <x v="4"/>
    <s v="Primary Arterial; L1 Freight; existing off-road footpath"/>
    <s v="Low Medium"/>
    <n v="2"/>
    <n v="12"/>
    <n v="42.6"/>
    <m/>
    <x v="113"/>
    <n v="4.26"/>
    <n v="150"/>
    <n v="10"/>
    <m/>
    <n v="1170.1000000000004"/>
    <s v="Low demand"/>
    <m/>
  </r>
  <r>
    <n v="36"/>
    <x v="19"/>
    <x v="135"/>
    <x v="1"/>
    <n v="1"/>
    <s v="No"/>
    <x v="5"/>
    <m/>
    <n v="1"/>
    <n v="1"/>
    <s v="AT network - reallocate road space ($1m/km)"/>
    <n v="1"/>
    <n v="1"/>
    <x v="1"/>
    <s v="Flush median; on-street parking"/>
    <s v="Medium   "/>
    <n v="3"/>
    <n v="9"/>
    <n v="122.2"/>
    <m/>
    <x v="32"/>
    <n v="122.2"/>
    <n v="150"/>
    <n v="1"/>
    <m/>
    <n v="1171.1000000000004"/>
    <s v="Prioritisation score &lt;10"/>
    <m/>
  </r>
  <r>
    <n v="37"/>
    <x v="19"/>
    <x v="136"/>
    <x v="1"/>
    <n v="1.8"/>
    <s v="No"/>
    <x v="5"/>
    <m/>
    <n v="1"/>
    <n v="1"/>
    <s v="AT network - reallocate road space ($1m/km)"/>
    <n v="1"/>
    <n v="1.8"/>
    <x v="1"/>
    <s v="On-street parking"/>
    <s v="Medium   "/>
    <n v="3"/>
    <n v="9"/>
    <n v="122.2"/>
    <m/>
    <x v="32"/>
    <n v="122.2"/>
    <n v="150"/>
    <n v="1.8"/>
    <m/>
    <n v="1172.9000000000003"/>
    <s v="Prioritisation score &lt;10"/>
    <m/>
  </r>
  <r>
    <n v="38"/>
    <x v="14"/>
    <x v="137"/>
    <x v="2"/>
    <n v="0.5"/>
    <s v="Yes - Committed"/>
    <x v="1"/>
    <s v="Connects to existing painted lanes on Shakespeare Rd (pop-up protection along Taharoto)"/>
    <n v="1"/>
    <n v="1"/>
    <s v="AT network - mid-range ($5m/km)"/>
    <n v="5"/>
    <n v="2.5"/>
    <x v="2"/>
    <s v="New connection"/>
    <s v="High"/>
    <n v="5"/>
    <n v="13"/>
    <m/>
    <n v="880"/>
    <x v="114"/>
    <n v="176"/>
    <n v="150"/>
    <n v="2.5"/>
    <m/>
    <n v="1175.4000000000003"/>
    <s v="Relies on Northern Pathway"/>
    <m/>
  </r>
  <r>
    <n v="3"/>
    <x v="15"/>
    <x v="138"/>
    <x v="2"/>
    <n v="1.2"/>
    <s v="Yes - Committed"/>
    <x v="1"/>
    <s v="Connects to Matakana Link Road"/>
    <n v="1"/>
    <n v="1"/>
    <s v="AT network - mid-range ($5m/km)"/>
    <n v="5"/>
    <n v="6"/>
    <x v="2"/>
    <s v="Current off-road path to Melwood Dr and berm, however narrow in sections and would require surface works"/>
    <s v="Low  "/>
    <n v="1"/>
    <n v="9"/>
    <m/>
    <m/>
    <x v="0"/>
    <n v="4"/>
    <n v="150"/>
    <n v="6"/>
    <m/>
    <n v="1181.4000000000003"/>
    <s v="Prioritisation score &lt;10"/>
    <m/>
  </r>
  <r>
    <n v="4"/>
    <x v="15"/>
    <x v="139"/>
    <x v="2"/>
    <n v="0.3"/>
    <s v="Yes - Committed"/>
    <x v="1"/>
    <s v="Connects to Matakana Link Road"/>
    <n v="1"/>
    <n v="1"/>
    <s v="Waka Kotahi network - off-road ($20m/km)"/>
    <n v="20"/>
    <n v="6"/>
    <x v="3"/>
    <s v="Strategic Arterial; L1 Freight; existing off-road shared path for majority of route up to Hudson Road "/>
    <s v="Low Medium"/>
    <n v="2"/>
    <n v="8"/>
    <m/>
    <m/>
    <x v="0"/>
    <n v="1"/>
    <n v="150"/>
    <n v="6"/>
    <m/>
    <n v="1187.4000000000003"/>
    <s v="Prioritisation score &lt;10"/>
    <m/>
  </r>
  <r>
    <n v="5"/>
    <x v="15"/>
    <x v="140"/>
    <x v="2"/>
    <n v="3.4"/>
    <s v="Yes - Committed"/>
    <x v="1"/>
    <s v="Connects to Matakana Link Road"/>
    <n v="1"/>
    <n v="1"/>
    <s v="AT network - mid-range ($5m/km)"/>
    <n v="5"/>
    <n v="17"/>
    <x v="2"/>
    <s v="Portion of land currently greenfield (assume separated facility with road construction)"/>
    <s v="Low  "/>
    <n v="1"/>
    <n v="9"/>
    <m/>
    <m/>
    <x v="0"/>
    <n v="4"/>
    <n v="150"/>
    <n v="17"/>
    <m/>
    <n v="1204.4000000000003"/>
    <s v="Prioritisation score &lt;10"/>
    <m/>
  </r>
  <r>
    <n v="6"/>
    <x v="15"/>
    <x v="141"/>
    <x v="2"/>
    <n v="1.3"/>
    <s v="No"/>
    <x v="5"/>
    <m/>
    <n v="1"/>
    <n v="1"/>
    <s v="AT network - mid-range ($5m/km)"/>
    <n v="5"/>
    <n v="6.5"/>
    <x v="2"/>
    <s v="On-street parking through town centre"/>
    <s v="Medium   "/>
    <n v="3"/>
    <n v="7"/>
    <m/>
    <m/>
    <x v="0"/>
    <n v="4"/>
    <n v="150"/>
    <n v="6.5"/>
    <m/>
    <n v="1210.9000000000003"/>
    <s v="Prioritisation score &lt;10"/>
    <m/>
  </r>
  <r>
    <n v="7"/>
    <x v="15"/>
    <x v="142"/>
    <x v="1"/>
    <n v="2.5"/>
    <s v="No"/>
    <x v="5"/>
    <m/>
    <n v="1"/>
    <n v="1"/>
    <s v="AT network - reallocate road space ($1m/km)"/>
    <n v="1"/>
    <n v="2.5"/>
    <x v="1"/>
    <s v="On-street parking"/>
    <s v="Low  "/>
    <n v="1"/>
    <n v="7"/>
    <m/>
    <m/>
    <x v="0"/>
    <n v="20"/>
    <n v="150"/>
    <n v="2.5"/>
    <m/>
    <n v="1213.4000000000003"/>
    <s v="Prioritisation score &lt;10"/>
    <m/>
  </r>
  <r>
    <n v="8"/>
    <x v="15"/>
    <x v="143"/>
    <x v="1"/>
    <n v="0.6"/>
    <s v="Yes - Existing (Protected - safe)"/>
    <x v="3"/>
    <s v="Connects to existing off-road shared path"/>
    <n v="1"/>
    <n v="1"/>
    <s v="AT network - reallocate road space ($1m/km)"/>
    <n v="1"/>
    <n v="0.6"/>
    <x v="1"/>
    <s v="On-street parking"/>
    <s v="Medium   "/>
    <n v="3"/>
    <n v="14"/>
    <m/>
    <m/>
    <x v="0"/>
    <n v="20"/>
    <n v="150"/>
    <n v="0.6"/>
    <m/>
    <n v="1214.0000000000002"/>
    <s v="Low demand"/>
    <m/>
  </r>
  <r>
    <n v="9"/>
    <x v="15"/>
    <x v="144"/>
    <x v="2"/>
    <n v="0.3"/>
    <s v="Yes - Existing (Protected - safe)"/>
    <x v="3"/>
    <s v="Connects to existing off-road shared path"/>
    <n v="1"/>
    <n v="1"/>
    <s v="Waka Kotahi network - off-road ($20m/km)"/>
    <n v="20"/>
    <n v="6"/>
    <x v="3"/>
    <s v="Strategic Arterial; L1 Freight; existing off-road footpath and bridge pinchpoint"/>
    <s v="Low Medium"/>
    <n v="2"/>
    <n v="9"/>
    <m/>
    <m/>
    <x v="0"/>
    <n v="1"/>
    <n v="150"/>
    <n v="6"/>
    <m/>
    <n v="1220.0000000000002"/>
    <s v="Prioritisation score &lt;10"/>
    <m/>
  </r>
  <r>
    <n v="10"/>
    <x v="15"/>
    <x v="145"/>
    <x v="2"/>
    <n v="1.4"/>
    <s v="Yes - Existing (Protected - safe)"/>
    <x v="3"/>
    <s v="Connects to existing off-road shared path"/>
    <n v="1"/>
    <n v="1"/>
    <s v="Waka Kotahi network - off-road ($20m/km)"/>
    <n v="20"/>
    <n v="28"/>
    <x v="3"/>
    <s v="Strategic Arterial; L1 Freight; existing off-road footpath on east side"/>
    <s v="High"/>
    <n v="5"/>
    <n v="12"/>
    <m/>
    <m/>
    <x v="0"/>
    <n v="1"/>
    <n v="150"/>
    <n v="28"/>
    <m/>
    <n v="1248.0000000000002"/>
    <s v="Low demand"/>
    <m/>
  </r>
  <r>
    <n v="11"/>
    <x v="15"/>
    <x v="146"/>
    <x v="1"/>
    <n v="1.5"/>
    <s v="No"/>
    <x v="5"/>
    <m/>
    <n v="2"/>
    <n v="3"/>
    <s v="AT network - reallocate road space ($1m/km)"/>
    <n v="1"/>
    <n v="1.5"/>
    <x v="1"/>
    <s v="On-street parking"/>
    <s v="Low Medium"/>
    <n v="2"/>
    <n v="10"/>
    <m/>
    <m/>
    <x v="0"/>
    <n v="20"/>
    <n v="150"/>
    <n v="1.5"/>
    <m/>
    <n v="1249.5000000000002"/>
    <s v="Prioritisation score &lt;10"/>
    <m/>
  </r>
  <r>
    <n v="12"/>
    <x v="15"/>
    <x v="147"/>
    <x v="2"/>
    <n v="1.3"/>
    <s v="No"/>
    <x v="5"/>
    <m/>
    <n v="1"/>
    <n v="1"/>
    <s v="AT network - mid-range ($5m/km)"/>
    <n v="5"/>
    <n v="6.5"/>
    <x v="2"/>
    <s v="Portion of land currently greenfield (assume separated facility with road construction)"/>
    <s v="Low  "/>
    <n v="1"/>
    <n v="5"/>
    <m/>
    <m/>
    <x v="0"/>
    <n v="4"/>
    <n v="150"/>
    <n v="6.5"/>
    <m/>
    <n v="1256.0000000000002"/>
    <s v="Prioritisation score &lt;10"/>
    <m/>
  </r>
  <r>
    <n v="13"/>
    <x v="15"/>
    <x v="148"/>
    <x v="2"/>
    <n v="1"/>
    <s v="Yes - Existing (Protected - safe)"/>
    <x v="3"/>
    <s v="Connects to existing off-road shared path"/>
    <n v="2"/>
    <n v="3"/>
    <s v="AT network - reallocate road space ($1m/km)"/>
    <n v="1"/>
    <n v="1"/>
    <x v="1"/>
    <s v="On-street parking; L2 freight "/>
    <s v="Low Medium"/>
    <n v="2"/>
    <n v="15"/>
    <m/>
    <m/>
    <x v="0"/>
    <n v="20"/>
    <n v="150"/>
    <n v="1"/>
    <m/>
    <n v="1257.0000000000002"/>
    <s v="Low demand"/>
    <m/>
  </r>
  <r>
    <n v="46"/>
    <x v="8"/>
    <x v="149"/>
    <x v="2"/>
    <n v="3.8"/>
    <s v="No"/>
    <x v="5"/>
    <m/>
    <n v="2"/>
    <n v="3"/>
    <s v="AT network - mid-range ($5m/km)"/>
    <n v="5"/>
    <n v="19"/>
    <x v="2"/>
    <s v="Narrow road; new greenfield"/>
    <s v="Low  "/>
    <n v="1"/>
    <n v="7"/>
    <m/>
    <n v="191"/>
    <x v="115"/>
    <n v="38.199999999999996"/>
    <n v="150"/>
    <n v="19"/>
    <m/>
    <n v="1276.0000000000002"/>
    <s v="Prioritisation score &lt;10"/>
    <s v="Supporting Growth alignment"/>
  </r>
  <r>
    <n v="50"/>
    <x v="8"/>
    <x v="150"/>
    <x v="2"/>
    <n v="4"/>
    <s v="Yes - Existing (Unprotected - unsafe)"/>
    <x v="4"/>
    <s v="Connects to existing painted lanes on Don Buck Road"/>
    <n v="1"/>
    <n v="1"/>
    <s v="AT network - mid-range ($5m/km)"/>
    <n v="5"/>
    <n v="20"/>
    <x v="2"/>
    <s v="Narrow road; new greenfield"/>
    <s v="Low  "/>
    <n v="1"/>
    <n v="8"/>
    <m/>
    <m/>
    <x v="0"/>
    <n v="4"/>
    <n v="150"/>
    <n v="20"/>
    <m/>
    <n v="1296.0000000000002"/>
    <s v="Prioritisation score &lt;10"/>
    <s v="Supporting Growth alignment"/>
  </r>
  <r>
    <n v="51"/>
    <x v="8"/>
    <x v="151"/>
    <x v="2"/>
    <n v="2.4"/>
    <s v="Yes - Committed"/>
    <x v="1"/>
    <s v="Connects to existing painted lanes on Fred Taylor Drive (east) and Don Buck Road  (pop-up protection)"/>
    <n v="2"/>
    <n v="3"/>
    <s v="AT network - reallocate road space ($1m/km)"/>
    <n v="1"/>
    <n v="2.4"/>
    <x v="1"/>
    <s v="Wide lanes and berms"/>
    <s v="Low  "/>
    <n v="1"/>
    <n v="13"/>
    <m/>
    <m/>
    <x v="0"/>
    <n v="20"/>
    <n v="150"/>
    <n v="2.4"/>
    <m/>
    <n v="1298.4000000000003"/>
    <s v="Medium Priority/Low Proxy value for money"/>
    <s v="Supporting Growth alignment"/>
  </r>
  <r>
    <n v="52"/>
    <x v="8"/>
    <x v="152"/>
    <x v="2"/>
    <n v="2.2999999999999998"/>
    <s v="No"/>
    <x v="5"/>
    <m/>
    <n v="1"/>
    <n v="1"/>
    <s v="AT network - mid-range ($5m/km)"/>
    <n v="5"/>
    <n v="11.5"/>
    <x v="2"/>
    <s v="Narrow road; new greenfield"/>
    <s v="Low  "/>
    <n v="1"/>
    <n v="5"/>
    <m/>
    <n v="262"/>
    <x v="116"/>
    <n v="52.399999999999991"/>
    <n v="150"/>
    <n v="11.5"/>
    <m/>
    <n v="1309.9000000000003"/>
    <s v="Prioritisation score &lt;10"/>
    <s v="Supporting Growth alignment"/>
  </r>
  <r>
    <n v="123"/>
    <x v="9"/>
    <x v="153"/>
    <x v="1"/>
    <n v="2.4"/>
    <s v="Yes - Existing (Protected - safe)"/>
    <x v="3"/>
    <s v="Connects to off-road shared path through Lloyd Elsmore Park"/>
    <n v="1"/>
    <n v="1"/>
    <s v="AT network - reallocate road space ($1m/km)"/>
    <n v="1"/>
    <n v="2.4"/>
    <x v="1"/>
    <s v="Flush median; on-street parking; no other stratgeic modal priorities"/>
    <s v="Medium High"/>
    <n v="4"/>
    <n v="15"/>
    <m/>
    <n v="447"/>
    <x v="117"/>
    <n v="447"/>
    <n v="200"/>
    <n v="2.4"/>
    <m/>
    <n v="1312.3000000000004"/>
    <s v="High Priority/Proxy value for money - relies on ConCom Corridor "/>
    <m/>
  </r>
  <r>
    <n v="80"/>
    <x v="38"/>
    <x v="154"/>
    <x v="3"/>
    <n v="1"/>
    <s v="Yes - Existing (Protected - safe)"/>
    <x v="3"/>
    <s v="Connects to Nelson St and Project WAVE"/>
    <n v="2"/>
    <n v="3"/>
    <s v="AT network - mid-range ($5m/km)"/>
    <n v="5"/>
    <n v="5"/>
    <x v="2"/>
    <s v="RTN route with bus lanes but multiple lanes to allow reallocation"/>
    <s v="Medium High"/>
    <n v="4"/>
    <n v="15"/>
    <m/>
    <n v="980"/>
    <x v="118"/>
    <n v="196"/>
    <n v="200"/>
    <n v="5"/>
    <m/>
    <n v="1317.3000000000004"/>
    <s v="High Priority/Proxy value for money - relies on Harbour Crossing"/>
    <s v="Potential funding through Central Govt Package. Existing Fanshawe St Safety project currently excludes cycle facilities. "/>
  </r>
  <r>
    <n v="81"/>
    <x v="38"/>
    <x v="155"/>
    <x v="2"/>
    <n v="0.8"/>
    <s v="Yes - Existing (Protected - safe)"/>
    <x v="3"/>
    <s v="Connects to Nelson St and Victoria St West"/>
    <n v="2"/>
    <n v="3"/>
    <s v="AT network - reallocate road space ($1m/km)"/>
    <n v="1"/>
    <n v="0.8"/>
    <x v="1"/>
    <s v="Primary arterial with no other modal conflicts; multiple GT lanes"/>
    <s v="Medium High"/>
    <n v="4"/>
    <n v="17"/>
    <m/>
    <n v="289"/>
    <x v="119"/>
    <n v="289"/>
    <n v="200"/>
    <n v="0.8"/>
    <m/>
    <n v="1318.1000000000004"/>
    <s v="High Priority/Proxy value for money - part of A4E"/>
    <m/>
  </r>
  <r>
    <n v="82"/>
    <x v="38"/>
    <x v="156"/>
    <x v="2"/>
    <n v="0.5"/>
    <s v="Yes - Existing (Protected - safe)"/>
    <x v="3"/>
    <s v="Connects to Victoria St West"/>
    <n v="2"/>
    <n v="3"/>
    <s v="AT network - mid-range ($5m/km)"/>
    <n v="5"/>
    <n v="2.5"/>
    <x v="2"/>
    <s v="Primary arterial with FTN bus lanes; multiple GT lanes"/>
    <s v="High"/>
    <n v="5"/>
    <n v="16"/>
    <m/>
    <n v="1235"/>
    <x v="120"/>
    <n v="247"/>
    <n v="200"/>
    <n v="2.5"/>
    <m/>
    <n v="1320.6000000000004"/>
    <s v="High Priority/Proxy value for money - part of A4E"/>
    <m/>
  </r>
  <r>
    <n v="83"/>
    <x v="38"/>
    <x v="157"/>
    <x v="2"/>
    <n v="1"/>
    <s v="Yes - Existing (Protected - safe)"/>
    <x v="3"/>
    <s v="Connects to Grafton Gully Cycleway"/>
    <n v="2"/>
    <n v="3"/>
    <s v="AT network - move kerbs ($10m/km)"/>
    <n v="10"/>
    <n v="10"/>
    <x v="4"/>
    <s v="Primary arterial with RTN bus lanes; pinchpoints in sections"/>
    <s v="Medium   "/>
    <n v="3"/>
    <n v="13"/>
    <m/>
    <n v="757"/>
    <x v="121"/>
    <n v="75.7"/>
    <n v="200"/>
    <n v="10"/>
    <m/>
    <n v="1330.6000000000004"/>
    <s v="Medium Priority/Low Proxy value for money - part of A4E"/>
    <s v="Network Optimisation SSBC recommending improvements on Wellesley St (Princes St to Grafton Rd)."/>
  </r>
  <r>
    <n v="84"/>
    <x v="38"/>
    <x v="158"/>
    <x v="2"/>
    <n v="0.5"/>
    <s v="Yes - Existing (Protected - safe)"/>
    <x v="3"/>
    <s v="Connects to Grafton Gully Cycleway"/>
    <n v="2"/>
    <n v="3"/>
    <s v="AT network - reallocate road space ($1m/km)"/>
    <n v="1"/>
    <n v="0.5"/>
    <x v="1"/>
    <s v="On street parking; wide lanes"/>
    <s v="Medium   "/>
    <n v="3"/>
    <n v="16"/>
    <m/>
    <n v="563"/>
    <x v="122"/>
    <n v="563"/>
    <n v="200"/>
    <n v="0.5"/>
    <m/>
    <n v="1331.1000000000004"/>
    <s v="High Priority/Proxy value for money - part of A4E"/>
    <m/>
  </r>
  <r>
    <n v="85"/>
    <x v="38"/>
    <x v="159"/>
    <x v="2"/>
    <n v="0.5"/>
    <s v="Yes - Existing (Protected - safe)"/>
    <x v="3"/>
    <s v="Connects to K Road cycleway"/>
    <n v="1"/>
    <n v="1"/>
    <s v="AT network - move kerbs ($10m/km)"/>
    <n v="10"/>
    <n v="5"/>
    <x v="4"/>
    <s v="Primary arterial with RTN; flush median however busy intersection and possible structure to connect to NW Cycleway"/>
    <s v="High"/>
    <n v="5"/>
    <n v="13"/>
    <m/>
    <n v="367"/>
    <x v="123"/>
    <n v="36.700000000000003"/>
    <n v="200"/>
    <n v="5"/>
    <m/>
    <n v="1336.1000000000004"/>
    <s v="Medium Priority/Low Proxy value for money - part of A4E"/>
    <m/>
  </r>
  <r>
    <n v="25"/>
    <x v="33"/>
    <x v="160"/>
    <x v="3"/>
    <n v="6.5"/>
    <s v="Yes - Committed"/>
    <x v="1"/>
    <s v="Connection to Northern Pathway"/>
    <n v="1"/>
    <n v="1"/>
    <s v="Waka Kotahi network - off-road ($20m/km)"/>
    <n v="22"/>
    <n v="143"/>
    <x v="3"/>
    <s v="Off-road shared path "/>
    <s v="High"/>
    <n v="5"/>
    <n v="11"/>
    <n v="68.100000000000009"/>
    <n v="1761"/>
    <x v="124"/>
    <n v="83.140909090909091"/>
    <n v="200"/>
    <n v="143"/>
    <m/>
    <n v="1479.1000000000004"/>
    <s v="Medium Priority/Low Proxy value for money - too expensive for PBC"/>
    <s v="Potential funding through Central Govt Package"/>
  </r>
  <r>
    <n v="107"/>
    <x v="31"/>
    <x v="161"/>
    <x v="2"/>
    <n v="2.5"/>
    <s v="Yes - Planned"/>
    <x v="2"/>
    <s v="Connects to planned ConCom EP Highway Corridor"/>
    <n v="2"/>
    <n v="3"/>
    <s v="AT network - reallocate road space ($1m/km)"/>
    <n v="1"/>
    <n v="2.5"/>
    <x v="1"/>
    <s v="On street parking; wide lanes; but requires some cut-through provision"/>
    <s v="Low Medium"/>
    <n v="2"/>
    <n v="11"/>
    <n v="77.2"/>
    <n v="129"/>
    <x v="125"/>
    <n v="206.2"/>
    <n v="200"/>
    <n v="2.5"/>
    <m/>
    <n v="1481.6000000000004"/>
    <s v="Medium Priority/High Proxy value for money - relies on ConCom Corridors"/>
    <m/>
  </r>
  <r>
    <n v="63"/>
    <x v="39"/>
    <x v="162"/>
    <x v="2"/>
    <n v="1.5"/>
    <s v="Yes - Existing (Protected - safe)"/>
    <x v="3"/>
    <s v="Connects to existing Waikumete Stream off-road greenway"/>
    <n v="2"/>
    <n v="3"/>
    <s v="AT network - reallocate road space ($1m/km)"/>
    <n v="1"/>
    <n v="1.5"/>
    <x v="1"/>
    <s v="On-street parking"/>
    <s v="Low  "/>
    <n v="1"/>
    <n v="14"/>
    <n v="36.200000000000003"/>
    <n v="252"/>
    <x v="126"/>
    <n v="288.2"/>
    <n v="200"/>
    <n v="1.5"/>
    <m/>
    <n v="1483.1000000000004"/>
    <s v="High Proxy value for money - relies on ConCom GNR Corridor"/>
    <m/>
  </r>
  <r>
    <n v="64"/>
    <x v="39"/>
    <x v="163"/>
    <x v="1"/>
    <n v="1.5"/>
    <s v="Yes - Committed"/>
    <x v="1"/>
    <s v="Possible connection to committed Te Whau Pathway"/>
    <n v="2"/>
    <n v="3"/>
    <s v="AT network - reallocate road space ($1m/km)"/>
    <n v="1"/>
    <n v="1.5"/>
    <x v="1"/>
    <s v="On-street parking"/>
    <s v="Low Medium"/>
    <n v="2"/>
    <n v="14"/>
    <n v="36.200000000000003"/>
    <n v="105"/>
    <x v="127"/>
    <n v="141.19999999999999"/>
    <n v="200"/>
    <n v="1.5"/>
    <m/>
    <n v="1484.6000000000004"/>
    <s v="High Proxy value for money - relies on ConCom GNR Corridor"/>
    <m/>
  </r>
  <r>
    <n v="76"/>
    <x v="20"/>
    <x v="164"/>
    <x v="3"/>
    <n v="4"/>
    <s v="Yes - Committed"/>
    <x v="1"/>
    <s v="Connects to committed ConCom corridors"/>
    <n v="2"/>
    <n v="3"/>
    <s v="Waka Kotahi network - off-road ($20m/km)"/>
    <n v="20"/>
    <n v="80"/>
    <x v="3"/>
    <s v="FTN but no existing/planned bus lanes; multiple intersections; heavy traffic/freight "/>
    <s v="Medium   "/>
    <n v="3"/>
    <n v="11"/>
    <n v="87.600000000000009"/>
    <n v="979"/>
    <x v="128"/>
    <n v="53.33"/>
    <n v="200"/>
    <n v="80"/>
    <m/>
    <n v="1564.6000000000004"/>
    <s v="Medium Priority/Low Proxy value for money - multi-modal requirement"/>
    <s v="Potential funding through Central Govt Package"/>
  </r>
  <r>
    <n v="113"/>
    <x v="11"/>
    <x v="165"/>
    <x v="2"/>
    <n v="2.2000000000000002"/>
    <s v="Yes - Planned"/>
    <x v="2"/>
    <s v="Connects to planned ConCom GSR Corridor"/>
    <n v="3"/>
    <n v="5"/>
    <s v="AT network - mid-range ($5m/km)"/>
    <n v="5"/>
    <n v="11"/>
    <x v="2"/>
    <s v="FTN but no existing/planned bus lanes; a few pinchpoints (SH1 overbridge) but flush median in sections could allow reallocation."/>
    <s v="Low Medium"/>
    <n v="2"/>
    <n v="11"/>
    <n v="16"/>
    <n v="833"/>
    <x v="129"/>
    <n v="169.8"/>
    <n v="200"/>
    <n v="11"/>
    <m/>
    <n v="1575.6000000000004"/>
    <s v="Medium Priority/High Proxy value for money - relies on ConCom Corridors"/>
    <m/>
  </r>
  <r>
    <n v="66"/>
    <x v="7"/>
    <x v="166"/>
    <x v="2"/>
    <n v="3.7"/>
    <s v="Yes - Planned"/>
    <x v="2"/>
    <s v="Connects to planned ConCom GNR Corridor"/>
    <n v="3"/>
    <n v="5"/>
    <s v="AT network - reallocate road space ($1m/km)"/>
    <n v="1"/>
    <n v="3.7"/>
    <x v="1"/>
    <s v="Flush median; pinchpoint at rail overbridge; multiple GT lanes"/>
    <s v="Medium   "/>
    <n v="3"/>
    <n v="14"/>
    <m/>
    <n v="289"/>
    <x v="119"/>
    <n v="289"/>
    <n v="200"/>
    <n v="3.7"/>
    <m/>
    <n v="1579.3000000000004"/>
    <s v="High Proxy value for money - relies on ConCom GNR Corridor"/>
    <s v="Part of current Safety intersections/corridors programme. Could consider funding alignment to ensure safe cycle provision."/>
  </r>
  <r>
    <n v="91"/>
    <x v="21"/>
    <x v="167"/>
    <x v="1"/>
    <n v="0.5"/>
    <s v="Yes - Planned"/>
    <x v="2"/>
    <s v="Connects to planned ConCom Corridor"/>
    <n v="3"/>
    <n v="5"/>
    <s v="AT network - reallocate road space ($1m/km)"/>
    <n v="1"/>
    <n v="0.5"/>
    <x v="1"/>
    <s v="On street parking"/>
    <s v="Low  "/>
    <n v="1"/>
    <n v="12"/>
    <m/>
    <n v="521"/>
    <x v="130"/>
    <n v="521"/>
    <n v="200"/>
    <n v="0.5"/>
    <m/>
    <n v="1579.8000000000004"/>
    <s v="Medium Priority/High Proxy value for money - relies on ConCom Manukau Rd"/>
    <m/>
  </r>
  <r>
    <n v="93"/>
    <x v="21"/>
    <x v="168"/>
    <x v="2"/>
    <n v="0.8"/>
    <s v="Yes - Planned"/>
    <x v="2"/>
    <s v="Connects to planned ConCom Corridors"/>
    <n v="3"/>
    <n v="5"/>
    <s v="AT network - reallocate road space ($1m/km)"/>
    <n v="1"/>
    <n v="0.8"/>
    <x v="1"/>
    <s v="On street parking"/>
    <s v="Low  "/>
    <n v="1"/>
    <n v="12"/>
    <m/>
    <n v="602"/>
    <x v="131"/>
    <n v="602"/>
    <n v="200"/>
    <n v="0.8"/>
    <m/>
    <n v="1580.6000000000004"/>
    <s v="Medium Priority/High Proxy value for money - relies on ConCom Manukau Rd"/>
    <m/>
  </r>
  <r>
    <n v="94"/>
    <x v="21"/>
    <x v="169"/>
    <x v="2"/>
    <n v="0.7"/>
    <s v="Yes - Planned"/>
    <x v="2"/>
    <s v="Connects to planned ConCom Corridors"/>
    <n v="3"/>
    <n v="5"/>
    <s v="AT network - reallocate road space ($1m/km)"/>
    <n v="1"/>
    <n v="0.7"/>
    <x v="1"/>
    <s v="Multiple GT lanes; no on-street parking"/>
    <s v="Low Medium"/>
    <n v="2"/>
    <n v="13"/>
    <m/>
    <n v="265"/>
    <x v="132"/>
    <n v="265"/>
    <n v="200"/>
    <n v="0.7"/>
    <m/>
    <n v="1581.3000000000004"/>
    <s v="Medium Priority/High Proxy value for money - relies on ConCom Manukau Rd"/>
    <m/>
  </r>
  <r>
    <n v="92"/>
    <x v="21"/>
    <x v="170"/>
    <x v="1"/>
    <n v="1.3"/>
    <s v="Yes - Committed"/>
    <x v="1"/>
    <s v="Connects to committed ConCom Mt Eden Corridor"/>
    <n v="3"/>
    <n v="5"/>
    <s v="AT network - reallocate road space ($1m/km)"/>
    <n v="1"/>
    <n v="1.3"/>
    <x v="1"/>
    <s v="On street parking"/>
    <s v="Medium   "/>
    <n v="3"/>
    <n v="17"/>
    <m/>
    <n v="548"/>
    <x v="133"/>
    <n v="548"/>
    <n v="200"/>
    <n v="1.3"/>
    <m/>
    <n v="1582.6000000000004"/>
    <s v="High Priority/Proxy value for money - relies on ConCom Corridor"/>
    <m/>
  </r>
  <r>
    <n v="87"/>
    <x v="27"/>
    <x v="171"/>
    <x v="1"/>
    <n v="1"/>
    <s v="Yes - Planned"/>
    <x v="2"/>
    <s v="Connects to ConCom Parnell Corridor"/>
    <n v="2"/>
    <n v="3"/>
    <s v="AT network - reallocate road space ($1m/km)"/>
    <n v="1"/>
    <n v="1"/>
    <x v="1"/>
    <s v="No strategic modal conflicts; ample on-street parking"/>
    <s v="Medium   "/>
    <n v="3"/>
    <n v="12"/>
    <m/>
    <n v="458"/>
    <x v="134"/>
    <n v="458"/>
    <n v="200"/>
    <n v="1"/>
    <m/>
    <n v="1583.6000000000004"/>
    <s v="Medium Priority/High Proxy value for money - relies on ConCom Parnell Corridor "/>
    <m/>
  </r>
  <r>
    <n v="17"/>
    <x v="37"/>
    <x v="172"/>
    <x v="3"/>
    <n v="13.2"/>
    <s v="Yes - Committed"/>
    <x v="1"/>
    <s v="Connects to Northern Pathway (Albany)"/>
    <n v="1"/>
    <n v="1"/>
    <s v="Waka Kotahi network - off-road ($20m/km)"/>
    <n v="20"/>
    <n v="264"/>
    <x v="3"/>
    <s v="Off-road shared path "/>
    <s v="High"/>
    <n v="5"/>
    <n v="11"/>
    <n v="42.6"/>
    <n v="421"/>
    <x v="135"/>
    <n v="23.18"/>
    <n v="200"/>
    <n v="264"/>
    <m/>
    <n v="1847.6000000000004"/>
    <s v="Medium Priority/Low Proxy value for money - too expensive for PBC"/>
    <m/>
  </r>
  <r>
    <n v="78"/>
    <x v="40"/>
    <x v="173"/>
    <x v="2"/>
    <n v="2.7"/>
    <s v="Yes - Committed"/>
    <x v="1"/>
    <s v="Connects to committed UCP projects"/>
    <n v="2"/>
    <n v="3"/>
    <s v="AT network - mid-range ($5m/km)"/>
    <n v="5"/>
    <n v="13.5"/>
    <x v="2"/>
    <s v="FTN but no existing/planned bus lanes; on-street parking and flush median"/>
    <s v="Medium   "/>
    <n v="3"/>
    <n v="13"/>
    <m/>
    <n v="1113"/>
    <x v="136"/>
    <n v="222.60000000000002"/>
    <n v="200"/>
    <n v="13.5"/>
    <m/>
    <n v="1861.1000000000004"/>
    <s v="Medium Priority/High Proxy value for money - relies on Harbour Crossing"/>
    <m/>
  </r>
  <r>
    <n v="79"/>
    <x v="40"/>
    <x v="174"/>
    <x v="2"/>
    <n v="1"/>
    <s v="Yes - Existing (Protected - safe)"/>
    <x v="3"/>
    <s v="Connects to existing shared path on Curran St north"/>
    <n v="2"/>
    <n v="3"/>
    <s v="AT network - reallocate road space ($1m/km)"/>
    <n v="1"/>
    <n v="1"/>
    <x v="1"/>
    <s v="FTN but no existing/planned bus lanes; on-street parking "/>
    <s v="Medium   "/>
    <n v="3"/>
    <n v="16"/>
    <m/>
    <n v="1221"/>
    <x v="137"/>
    <n v="1221"/>
    <n v="200"/>
    <n v="1"/>
    <m/>
    <n v="1862.1000000000004"/>
    <s v="High Priority/Proxy value for money - relies on Harbour Crossing"/>
    <m/>
  </r>
  <r>
    <m/>
    <x v="41"/>
    <x v="175"/>
    <x v="0"/>
    <m/>
    <m/>
    <x v="0"/>
    <m/>
    <m/>
    <m/>
    <m/>
    <m/>
    <m/>
    <x v="0"/>
    <m/>
    <m/>
    <m/>
    <m/>
    <m/>
    <m/>
    <x v="0"/>
    <m/>
    <m/>
    <m/>
    <m/>
    <m/>
    <m/>
    <m/>
  </r>
  <r>
    <m/>
    <x v="41"/>
    <x v="175"/>
    <x v="0"/>
    <m/>
    <m/>
    <x v="0"/>
    <m/>
    <m/>
    <m/>
    <m/>
    <m/>
    <m/>
    <x v="0"/>
    <m/>
    <m/>
    <m/>
    <m/>
    <m/>
    <m/>
    <x v="0"/>
    <m/>
    <m/>
    <m/>
    <m/>
    <m/>
    <m/>
    <m/>
  </r>
  <r>
    <m/>
    <x v="41"/>
    <x v="175"/>
    <x v="0"/>
    <m/>
    <m/>
    <x v="0"/>
    <m/>
    <m/>
    <m/>
    <m/>
    <m/>
    <m/>
    <x v="0"/>
    <m/>
    <m/>
    <m/>
    <m/>
    <m/>
    <m/>
    <x v="0"/>
    <m/>
    <m/>
    <m/>
    <m/>
    <m/>
    <m/>
    <m/>
  </r>
  <r>
    <m/>
    <x v="41"/>
    <x v="175"/>
    <x v="0"/>
    <m/>
    <m/>
    <x v="0"/>
    <m/>
    <m/>
    <m/>
    <m/>
    <m/>
    <m/>
    <x v="0"/>
    <m/>
    <m/>
    <m/>
    <m/>
    <m/>
    <m/>
    <x v="0"/>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915E27B-A3C8-44CD-887C-716F740E161D}"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6:D112" firstHeaderRow="0" firstDataRow="1" firstDataCol="1" rowPageCount="3" colPageCount="1"/>
  <pivotFields count="28">
    <pivotField showAll="0"/>
    <pivotField showAll="0"/>
    <pivotField axis="axisRow" showAll="0" sortType="descending">
      <items count="178">
        <item x="79"/>
        <item x="28"/>
        <item x="127"/>
        <item x="142"/>
        <item x="161"/>
        <item x="25"/>
        <item x="18"/>
        <item x="14"/>
        <item x="70"/>
        <item x="77"/>
        <item x="145"/>
        <item x="162"/>
        <item x="42"/>
        <item x="43"/>
        <item x="164"/>
        <item x="57"/>
        <item x="113"/>
        <item x="51"/>
        <item x="41"/>
        <item x="17"/>
        <item x="118"/>
        <item x="110"/>
        <item x="171"/>
        <item x="54"/>
        <item x="144"/>
        <item x="88"/>
        <item x="61"/>
        <item x="75"/>
        <item x="48"/>
        <item x="153"/>
        <item x="16"/>
        <item x="34"/>
        <item x="62"/>
        <item x="105"/>
        <item x="55"/>
        <item x="114"/>
        <item x="89"/>
        <item x="155"/>
        <item x="122"/>
        <item x="136"/>
        <item x="128"/>
        <item x="96"/>
        <item x="130"/>
        <item x="174"/>
        <item x="129"/>
        <item x="6"/>
        <item x="150"/>
        <item m="1" x="176"/>
        <item x="44"/>
        <item x="37"/>
        <item x="141"/>
        <item x="147"/>
        <item x="146"/>
        <item x="154"/>
        <item x="63"/>
        <item x="116"/>
        <item x="151"/>
        <item x="158"/>
        <item x="81"/>
        <item x="139"/>
        <item x="102"/>
        <item x="68"/>
        <item x="76"/>
        <item x="45"/>
        <item x="36"/>
        <item x="22"/>
        <item x="163"/>
        <item x="134"/>
        <item x="10"/>
        <item x="65"/>
        <item x="15"/>
        <item x="82"/>
        <item x="103"/>
        <item x="100"/>
        <item x="5"/>
        <item x="119"/>
        <item x="85"/>
        <item x="78"/>
        <item x="24"/>
        <item x="66"/>
        <item x="107"/>
        <item x="49"/>
        <item x="120"/>
        <item x="115"/>
        <item x="126"/>
        <item x="8"/>
        <item x="46"/>
        <item x="152"/>
        <item x="140"/>
        <item x="94"/>
        <item x="111"/>
        <item x="169"/>
        <item x="56"/>
        <item x="97"/>
        <item x="138"/>
        <item x="112"/>
        <item x="71"/>
        <item x="91"/>
        <item x="39"/>
        <item x="64"/>
        <item x="40"/>
        <item x="38"/>
        <item x="21"/>
        <item x="168"/>
        <item x="19"/>
        <item x="72"/>
        <item x="159"/>
        <item x="101"/>
        <item x="67"/>
        <item x="86"/>
        <item x="167"/>
        <item x="165"/>
        <item x="23"/>
        <item x="98"/>
        <item x="135"/>
        <item x="53"/>
        <item x="104"/>
        <item x="131"/>
        <item x="13"/>
        <item x="1"/>
        <item x="95"/>
        <item x="123"/>
        <item x="92"/>
        <item x="80"/>
        <item x="7"/>
        <item x="11"/>
        <item x="125"/>
        <item x="60"/>
        <item x="83"/>
        <item x="124"/>
        <item x="160"/>
        <item x="172"/>
        <item x="109"/>
        <item x="93"/>
        <item x="137"/>
        <item x="58"/>
        <item x="133"/>
        <item x="149"/>
        <item x="74"/>
        <item x="31"/>
        <item x="9"/>
        <item x="170"/>
        <item x="69"/>
        <item x="87"/>
        <item x="35"/>
        <item x="29"/>
        <item x="117"/>
        <item x="84"/>
        <item x="3"/>
        <item x="121"/>
        <item x="106"/>
        <item x="59"/>
        <item x="50"/>
        <item x="12"/>
        <item x="73"/>
        <item x="33"/>
        <item x="2"/>
        <item x="90"/>
        <item x="108"/>
        <item x="156"/>
        <item x="132"/>
        <item x="20"/>
        <item x="30"/>
        <item x="4"/>
        <item x="52"/>
        <item x="157"/>
        <item x="166"/>
        <item x="173"/>
        <item x="32"/>
        <item x="99"/>
        <item x="143"/>
        <item x="148"/>
        <item x="47"/>
        <item x="175"/>
        <item x="27"/>
        <item x="0"/>
        <item x="26"/>
        <item t="default"/>
      </items>
      <autoSortScope>
        <pivotArea dataOnly="0" outline="0" fieldPosition="0">
          <references count="1">
            <reference field="4294967294" count="1" selected="0">
              <x v="1"/>
            </reference>
          </references>
        </pivotArea>
      </autoSortScope>
    </pivotField>
    <pivotField axis="axisPage" multipleItemSelectionAllowed="1" showAll="0">
      <items count="5">
        <item x="1"/>
        <item x="2"/>
        <item x="3"/>
        <item h="1" x="0"/>
        <item t="default"/>
      </items>
    </pivotField>
    <pivotField showAll="0"/>
    <pivotField showAll="0"/>
    <pivotField axis="axisPage" multipleItemSelectionAllowed="1" showAll="0">
      <items count="7">
        <item h="1" x="5"/>
        <item h="1" x="2"/>
        <item x="4"/>
        <item x="1"/>
        <item x="3"/>
        <item h="1" x="0"/>
        <item t="default"/>
      </items>
    </pivotField>
    <pivotField showAll="0"/>
    <pivotField showAll="0"/>
    <pivotField showAll="0"/>
    <pivotField showAll="0"/>
    <pivotField showAll="0"/>
    <pivotField showAll="0"/>
    <pivotField axis="axisPage" dataField="1" multipleItemSelectionAllowed="1" showAll="0">
      <items count="6">
        <item h="1" x="3"/>
        <item h="1" x="4"/>
        <item x="2"/>
        <item x="1"/>
        <item h="1" x="0"/>
        <item t="default"/>
      </items>
    </pivotField>
    <pivotField showAll="0"/>
    <pivotField showAll="0"/>
    <pivotField showAll="0"/>
    <pivotField dataField="1" showAll="0"/>
    <pivotField showAll="0"/>
    <pivotField showAll="0"/>
    <pivotField dataField="1" showAll="0"/>
    <pivotField showAll="0"/>
    <pivotField showAll="0"/>
    <pivotField showAll="0"/>
    <pivotField showAll="0"/>
    <pivotField showAll="0"/>
    <pivotField showAll="0"/>
    <pivotField showAll="0"/>
  </pivotFields>
  <rowFields count="1">
    <field x="2"/>
  </rowFields>
  <rowItems count="106">
    <i>
      <x v="78"/>
    </i>
    <i>
      <x v="30"/>
    </i>
    <i>
      <x v="70"/>
    </i>
    <i>
      <x v="7"/>
    </i>
    <i>
      <x v="13"/>
    </i>
    <i>
      <x v="49"/>
    </i>
    <i>
      <x v="118"/>
    </i>
    <i>
      <x v="141"/>
    </i>
    <i>
      <x v="119"/>
    </i>
    <i>
      <x v="37"/>
    </i>
    <i>
      <x v="68"/>
    </i>
    <i>
      <x v="156"/>
    </i>
    <i>
      <x v="176"/>
    </i>
    <i>
      <x v="145"/>
    </i>
    <i>
      <x v="125"/>
    </i>
    <i>
      <x v="161"/>
    </i>
    <i>
      <x v="43"/>
    </i>
    <i>
      <x v="135"/>
    </i>
    <i>
      <x v="57"/>
    </i>
    <i>
      <x v="155"/>
    </i>
    <i>
      <x v="62"/>
    </i>
    <i>
      <x v="124"/>
    </i>
    <i>
      <x v="64"/>
    </i>
    <i>
      <x v="128"/>
    </i>
    <i>
      <x v="65"/>
    </i>
    <i>
      <x v="140"/>
    </i>
    <i>
      <x v="74"/>
    </i>
    <i>
      <x v="147"/>
    </i>
    <i>
      <x v="172"/>
    </i>
    <i>
      <x v="159"/>
    </i>
    <i>
      <x v="174"/>
    </i>
    <i>
      <x v="102"/>
    </i>
    <i>
      <x v="98"/>
    </i>
    <i>
      <x v="154"/>
    </i>
    <i>
      <x v="63"/>
    </i>
    <i>
      <x v="127"/>
    </i>
    <i>
      <x v="76"/>
    </i>
    <i>
      <x v="151"/>
    </i>
    <i>
      <x v="85"/>
    </i>
    <i>
      <x v="5"/>
    </i>
    <i>
      <x v="53"/>
    </i>
    <i>
      <x v="31"/>
    </i>
    <i>
      <x v="171"/>
    </i>
    <i>
      <x v="19"/>
    </i>
    <i>
      <x v="54"/>
    </i>
    <i>
      <x v="152"/>
    </i>
    <i>
      <x v="112"/>
    </i>
    <i>
      <x v="12"/>
    </i>
    <i>
      <x v="71"/>
    </i>
    <i>
      <x v="58"/>
    </i>
    <i>
      <x v="29"/>
    </i>
    <i>
      <x v="66"/>
    </i>
    <i>
      <x v="150"/>
    </i>
    <i>
      <x v="146"/>
    </i>
    <i>
      <x v="101"/>
    </i>
    <i>
      <x v="116"/>
    </i>
    <i>
      <x v="61"/>
    </i>
    <i>
      <x v="170"/>
    </i>
    <i>
      <x v="11"/>
    </i>
    <i>
      <x v="28"/>
    </i>
    <i>
      <x v="136"/>
    </i>
    <i>
      <x v="115"/>
    </i>
    <i>
      <x v="25"/>
    </i>
    <i>
      <x v="18"/>
    </i>
    <i>
      <x v="15"/>
    </i>
    <i>
      <x v="123"/>
    </i>
    <i>
      <x v="144"/>
    </i>
    <i>
      <x v="45"/>
    </i>
    <i>
      <x v="41"/>
    </i>
    <i>
      <x v="99"/>
    </i>
    <i>
      <x v="109"/>
    </i>
    <i>
      <x v="167"/>
    </i>
    <i>
      <x v="77"/>
    </i>
    <i>
      <x v="26"/>
    </i>
    <i>
      <x v="56"/>
    </i>
    <i>
      <x v="163"/>
    </i>
    <i>
      <x v="32"/>
    </i>
    <i>
      <x v="122"/>
    </i>
    <i>
      <x v="9"/>
    </i>
    <i>
      <x v="139"/>
    </i>
    <i>
      <x v="96"/>
    </i>
    <i>
      <x v="162"/>
    </i>
    <i>
      <x v="134"/>
    </i>
    <i>
      <x v="164"/>
    </i>
    <i>
      <x v="8"/>
    </i>
    <i>
      <x v="168"/>
    </i>
    <i>
      <x v="17"/>
    </i>
    <i>
      <x v="143"/>
    </i>
    <i>
      <x v="138"/>
    </i>
    <i>
      <x v="21"/>
    </i>
    <i>
      <x v="93"/>
    </i>
    <i>
      <x/>
    </i>
    <i>
      <x v="149"/>
    </i>
    <i>
      <x v="1"/>
    </i>
    <i>
      <x v="69"/>
    </i>
    <i>
      <x v="169"/>
    </i>
    <i>
      <x v="27"/>
    </i>
    <i>
      <x v="72"/>
    </i>
    <i>
      <x v="86"/>
    </i>
    <i>
      <x v="84"/>
    </i>
    <i>
      <x v="2"/>
    </i>
    <i>
      <x v="94"/>
    </i>
    <i>
      <x v="20"/>
    </i>
    <i>
      <x v="88"/>
    </i>
    <i>
      <x v="46"/>
    </i>
    <i t="grand">
      <x/>
    </i>
  </rowItems>
  <colFields count="1">
    <field x="-2"/>
  </colFields>
  <colItems count="3">
    <i>
      <x/>
    </i>
    <i i="1">
      <x v="1"/>
    </i>
    <i i="2">
      <x v="2"/>
    </i>
  </colItems>
  <pageFields count="3">
    <pageField fld="6" hier="-1"/>
    <pageField fld="13" hier="-1"/>
    <pageField fld="3" hier="-1"/>
  </pageFields>
  <dataFields count="3">
    <dataField name="Average of Deliverability Score" fld="13" subtotal="average" baseField="1" baseItem="0"/>
    <dataField name="Average of Prioritisation SCORE" fld="17" subtotal="average" baseField="1" baseItem="0"/>
    <dataField name="Sum of 2028 Demand - Additional daily trips" fld="20" baseField="0" baseItem="0"/>
  </dataFields>
  <formats count="3">
    <format dxfId="12">
      <pivotArea dataOnly="0" labelOnly="1" outline="0" fieldPosition="0">
        <references count="1">
          <reference field="4294967294" count="2">
            <x v="0"/>
            <x v="1"/>
          </reference>
        </references>
      </pivotArea>
    </format>
    <format dxfId="11">
      <pivotArea dataOnly="0" labelOnly="1" outline="0" fieldPosition="0">
        <references count="1">
          <reference field="4294967294" count="1">
            <x v="2"/>
          </reference>
        </references>
      </pivotArea>
    </format>
    <format dxfId="10">
      <pivotArea dataOnly="0" labelOnly="1" fieldPosition="0">
        <references count="1">
          <reference field="2" count="1">
            <x v="101"/>
          </reference>
        </references>
      </pivotArea>
    </format>
  </formats>
  <conditionalFormats count="10">
    <conditionalFormat priority="2">
      <pivotAreas count="1">
        <pivotArea type="data" collapsedLevelsAreSubtotals="1" fieldPosition="0">
          <references count="2">
            <reference field="4294967294" count="1" selected="0">
              <x v="1"/>
            </reference>
            <reference field="2" count="103">
              <x v="0"/>
              <x v="2"/>
              <x v="5"/>
              <x v="7"/>
              <x v="8"/>
              <x v="9"/>
              <x v="11"/>
              <x v="12"/>
              <x v="13"/>
              <x v="15"/>
              <x v="17"/>
              <x v="18"/>
              <x v="19"/>
              <x v="20"/>
              <x v="21"/>
              <x v="25"/>
              <x v="26"/>
              <x v="27"/>
              <x v="28"/>
              <x v="29"/>
              <x v="30"/>
              <x v="31"/>
              <x v="32"/>
              <x v="37"/>
              <x v="41"/>
              <x v="43"/>
              <x v="45"/>
              <x v="46"/>
              <x v="49"/>
              <x v="53"/>
              <x v="54"/>
              <x v="56"/>
              <x v="57"/>
              <x v="58"/>
              <x v="61"/>
              <x v="62"/>
              <x v="63"/>
              <x v="64"/>
              <x v="65"/>
              <x v="66"/>
              <x v="68"/>
              <x v="69"/>
              <x v="70"/>
              <x v="71"/>
              <x v="72"/>
              <x v="74"/>
              <x v="76"/>
              <x v="77"/>
              <x v="78"/>
              <x v="84"/>
              <x v="85"/>
              <x v="86"/>
              <x v="88"/>
              <x v="93"/>
              <x v="94"/>
              <x v="96"/>
              <x v="98"/>
              <x v="99"/>
              <x v="101"/>
              <x v="102"/>
              <x v="109"/>
              <x v="112"/>
              <x v="115"/>
              <x v="116"/>
              <x v="118"/>
              <x v="119"/>
              <x v="122"/>
              <x v="123"/>
              <x v="124"/>
              <x v="125"/>
              <x v="127"/>
              <x v="128"/>
              <x v="134"/>
              <x v="135"/>
              <x v="136"/>
              <x v="138"/>
              <x v="139"/>
              <x v="140"/>
              <x v="141"/>
              <x v="143"/>
              <x v="144"/>
              <x v="145"/>
              <x v="146"/>
              <x v="147"/>
              <x v="149"/>
              <x v="150"/>
              <x v="151"/>
              <x v="152"/>
              <x v="154"/>
              <x v="155"/>
              <x v="156"/>
              <x v="159"/>
              <x v="161"/>
              <x v="162"/>
              <x v="163"/>
              <x v="164"/>
              <x v="167"/>
              <x v="168"/>
              <x v="169"/>
              <x v="170"/>
              <x v="171"/>
              <x v="172"/>
              <x v="174"/>
            </reference>
          </references>
        </pivotArea>
      </pivotAreas>
    </conditionalFormat>
    <conditionalFormat priority="4">
      <pivotAreas count="1">
        <pivotArea type="data" collapsedLevelsAreSubtotals="1" fieldPosition="0">
          <references count="2">
            <reference field="4294967294" count="1" selected="0">
              <x v="1"/>
            </reference>
            <reference field="2" count="68">
              <x v="0"/>
              <x v="7"/>
              <x v="8"/>
              <x v="9"/>
              <x v="11"/>
              <x v="12"/>
              <x v="17"/>
              <x v="18"/>
              <x v="20"/>
              <x v="21"/>
              <x v="25"/>
              <x v="26"/>
              <x v="30"/>
              <x v="32"/>
              <x v="37"/>
              <x v="43"/>
              <x v="45"/>
              <x v="49"/>
              <x v="53"/>
              <x v="56"/>
              <x v="57"/>
              <x v="58"/>
              <x v="61"/>
              <x v="62"/>
              <x v="63"/>
              <x v="64"/>
              <x v="65"/>
              <x v="68"/>
              <x v="70"/>
              <x v="71"/>
              <x v="74"/>
              <x v="77"/>
              <x v="78"/>
              <x v="84"/>
              <x v="85"/>
              <x v="88"/>
              <x v="93"/>
              <x v="94"/>
              <x v="96"/>
              <x v="99"/>
              <x v="101"/>
              <x v="102"/>
              <x v="109"/>
              <x v="112"/>
              <x v="115"/>
              <x v="118"/>
              <x v="124"/>
              <x v="125"/>
              <x v="127"/>
              <x v="134"/>
              <x v="136"/>
              <x v="139"/>
              <x v="140"/>
              <x v="143"/>
              <x v="145"/>
              <x v="149"/>
              <x v="150"/>
              <x v="151"/>
              <x v="156"/>
              <x v="159"/>
              <x v="161"/>
              <x v="162"/>
              <x v="163"/>
              <x v="164"/>
              <x v="167"/>
              <x v="168"/>
              <x v="171"/>
              <x v="174"/>
            </reference>
          </references>
        </pivotArea>
      </pivotAreas>
    </conditionalFormat>
    <conditionalFormat priority="5">
      <pivotAreas count="1">
        <pivotArea type="data" collapsedLevelsAreSubtotals="1" fieldPosition="0">
          <references count="2">
            <reference field="4294967294" count="1" selected="0">
              <x v="1"/>
            </reference>
            <reference field="2" count="1">
              <x v="174"/>
            </reference>
          </references>
        </pivotArea>
      </pivotAreas>
    </conditionalFormat>
    <conditionalFormat priority="6">
      <pivotAreas count="1">
        <pivotArea type="data" collapsedLevelsAreSubtotals="1" fieldPosition="0">
          <references count="2">
            <reference field="4294967294" count="1" selected="0">
              <x v="1"/>
            </reference>
            <reference field="2" count="1">
              <x v="174"/>
            </reference>
          </references>
        </pivotArea>
      </pivotAreas>
    </conditionalFormat>
    <conditionalFormat priority="11">
      <pivotAreas count="1">
        <pivotArea type="data" collapsedLevelsAreSubtotals="1" fieldPosition="0">
          <references count="2">
            <reference field="4294967294" count="1" selected="0">
              <x v="1"/>
            </reference>
            <reference field="2" count="1">
              <x v="49"/>
            </reference>
          </references>
        </pivotArea>
      </pivotAreas>
    </conditionalFormat>
    <conditionalFormat priority="12">
      <pivotAreas count="1">
        <pivotArea type="data" collapsedLevelsAreSubtotals="1" fieldPosition="0">
          <references count="2">
            <reference field="4294967294" count="1" selected="0">
              <x v="1"/>
            </reference>
            <reference field="2" count="1">
              <x v="49"/>
            </reference>
          </references>
        </pivotArea>
      </pivotAreas>
    </conditionalFormat>
    <conditionalFormat priority="13">
      <pivotAreas count="1">
        <pivotArea type="data" collapsedLevelsAreSubtotals="1" fieldPosition="0">
          <references count="2">
            <reference field="4294967294" count="1" selected="0">
              <x v="1"/>
            </reference>
            <reference field="2" count="1">
              <x v="78"/>
            </reference>
          </references>
        </pivotArea>
      </pivotAreas>
    </conditionalFormat>
    <conditionalFormat priority="14">
      <pivotAreas count="1">
        <pivotArea type="data" collapsedLevelsAreSubtotals="1" fieldPosition="0">
          <references count="2">
            <reference field="4294967294" count="1" selected="0">
              <x v="1"/>
            </reference>
            <reference field="2" count="1">
              <x v="78"/>
            </reference>
          </references>
        </pivotArea>
      </pivotAreas>
    </conditionalFormat>
    <conditionalFormat priority="17">
      <pivotAreas count="1">
        <pivotArea type="data" collapsedLevelsAreSubtotals="1" fieldPosition="0">
          <references count="2">
            <reference field="4294967294" count="1" selected="0">
              <x v="1"/>
            </reference>
            <reference field="2" count="66">
              <x v="0"/>
              <x v="7"/>
              <x v="8"/>
              <x v="9"/>
              <x v="11"/>
              <x v="12"/>
              <x v="17"/>
              <x v="18"/>
              <x v="20"/>
              <x v="21"/>
              <x v="25"/>
              <x v="26"/>
              <x v="30"/>
              <x v="32"/>
              <x v="37"/>
              <x v="43"/>
              <x v="45"/>
              <x v="47"/>
              <x v="53"/>
              <x v="56"/>
              <x v="57"/>
              <x v="58"/>
              <x v="61"/>
              <x v="62"/>
              <x v="63"/>
              <x v="64"/>
              <x v="65"/>
              <x v="68"/>
              <x v="70"/>
              <x v="71"/>
              <x v="74"/>
              <x v="77"/>
              <x v="84"/>
              <x v="85"/>
              <x v="88"/>
              <x v="93"/>
              <x v="94"/>
              <x v="96"/>
              <x v="99"/>
              <x v="101"/>
              <x v="102"/>
              <x v="109"/>
              <x v="112"/>
              <x v="115"/>
              <x v="118"/>
              <x v="124"/>
              <x v="125"/>
              <x v="127"/>
              <x v="134"/>
              <x v="136"/>
              <x v="139"/>
              <x v="140"/>
              <x v="143"/>
              <x v="145"/>
              <x v="149"/>
              <x v="150"/>
              <x v="151"/>
              <x v="156"/>
              <x v="159"/>
              <x v="161"/>
              <x v="162"/>
              <x v="163"/>
              <x v="164"/>
              <x v="167"/>
              <x v="168"/>
              <x v="171"/>
            </reference>
          </references>
        </pivotArea>
      </pivotAreas>
    </conditionalFormat>
    <conditionalFormat priority="18">
      <pivotAreas count="1">
        <pivotArea type="data" collapsedLevelsAreSubtotals="1" fieldPosition="0">
          <references count="2">
            <reference field="4294967294" count="1" selected="0">
              <x v="1"/>
            </reference>
            <reference field="2" count="53">
              <x v="0"/>
              <x v="7"/>
              <x v="8"/>
              <x v="9"/>
              <x v="11"/>
              <x v="12"/>
              <x v="14"/>
              <x v="17"/>
              <x v="18"/>
              <x v="20"/>
              <x v="21"/>
              <x v="25"/>
              <x v="26"/>
              <x v="30"/>
              <x v="32"/>
              <x v="37"/>
              <x v="43"/>
              <x v="48"/>
              <x v="53"/>
              <x v="57"/>
              <x v="61"/>
              <x v="62"/>
              <x v="63"/>
              <x v="64"/>
              <x v="65"/>
              <x v="68"/>
              <x v="74"/>
              <x v="77"/>
              <x v="88"/>
              <x v="94"/>
              <x v="96"/>
              <x v="99"/>
              <x v="101"/>
              <x v="102"/>
              <x v="104"/>
              <x v="109"/>
              <x v="112"/>
              <x v="118"/>
              <x v="125"/>
              <x v="127"/>
              <x v="136"/>
              <x v="139"/>
              <x v="140"/>
              <x v="143"/>
              <x v="145"/>
              <x v="149"/>
              <x v="156"/>
              <x v="159"/>
              <x v="161"/>
              <x v="163"/>
              <x v="167"/>
              <x v="168"/>
              <x v="171"/>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3B1839A-AE43-44EC-9A9D-2E6936BBF4E2}"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6:D135" firstHeaderRow="0" firstDataRow="1" firstDataCol="1" rowPageCount="3" colPageCount="1"/>
  <pivotFields count="28">
    <pivotField showAll="0"/>
    <pivotField showAll="0"/>
    <pivotField axis="axisRow" showAll="0" sortType="descending">
      <items count="178">
        <item x="79"/>
        <item x="28"/>
        <item x="127"/>
        <item x="142"/>
        <item x="161"/>
        <item x="25"/>
        <item x="18"/>
        <item x="14"/>
        <item x="70"/>
        <item x="77"/>
        <item x="145"/>
        <item x="162"/>
        <item x="42"/>
        <item x="43"/>
        <item x="164"/>
        <item x="57"/>
        <item x="113"/>
        <item x="51"/>
        <item x="41"/>
        <item x="17"/>
        <item x="118"/>
        <item x="110"/>
        <item x="171"/>
        <item x="54"/>
        <item x="144"/>
        <item x="88"/>
        <item x="61"/>
        <item x="75"/>
        <item x="48"/>
        <item x="153"/>
        <item x="16"/>
        <item x="34"/>
        <item x="62"/>
        <item x="105"/>
        <item x="55"/>
        <item x="114"/>
        <item x="89"/>
        <item x="155"/>
        <item x="122"/>
        <item x="136"/>
        <item x="128"/>
        <item x="96"/>
        <item x="130"/>
        <item x="174"/>
        <item x="129"/>
        <item x="6"/>
        <item x="150"/>
        <item m="1" x="176"/>
        <item x="44"/>
        <item x="37"/>
        <item x="141"/>
        <item x="147"/>
        <item x="146"/>
        <item x="154"/>
        <item x="63"/>
        <item x="116"/>
        <item x="151"/>
        <item x="158"/>
        <item x="81"/>
        <item x="139"/>
        <item x="102"/>
        <item x="68"/>
        <item x="76"/>
        <item x="45"/>
        <item x="36"/>
        <item x="22"/>
        <item x="163"/>
        <item x="134"/>
        <item x="10"/>
        <item x="65"/>
        <item x="15"/>
        <item x="82"/>
        <item x="103"/>
        <item x="100"/>
        <item x="5"/>
        <item x="119"/>
        <item x="85"/>
        <item x="78"/>
        <item x="24"/>
        <item x="66"/>
        <item x="107"/>
        <item x="49"/>
        <item x="120"/>
        <item x="115"/>
        <item x="126"/>
        <item x="8"/>
        <item x="46"/>
        <item x="152"/>
        <item x="140"/>
        <item x="94"/>
        <item x="111"/>
        <item x="169"/>
        <item x="56"/>
        <item x="97"/>
        <item x="138"/>
        <item x="112"/>
        <item x="71"/>
        <item x="91"/>
        <item x="39"/>
        <item x="64"/>
        <item x="40"/>
        <item x="38"/>
        <item x="21"/>
        <item x="168"/>
        <item x="19"/>
        <item x="72"/>
        <item x="159"/>
        <item x="101"/>
        <item x="67"/>
        <item x="86"/>
        <item x="167"/>
        <item x="165"/>
        <item x="23"/>
        <item x="98"/>
        <item x="135"/>
        <item x="53"/>
        <item x="104"/>
        <item x="131"/>
        <item x="13"/>
        <item x="1"/>
        <item x="95"/>
        <item x="123"/>
        <item x="92"/>
        <item x="80"/>
        <item x="7"/>
        <item x="11"/>
        <item x="125"/>
        <item x="60"/>
        <item x="83"/>
        <item x="124"/>
        <item x="160"/>
        <item x="172"/>
        <item x="109"/>
        <item x="93"/>
        <item x="137"/>
        <item x="58"/>
        <item x="133"/>
        <item x="149"/>
        <item x="74"/>
        <item x="31"/>
        <item x="9"/>
        <item x="170"/>
        <item x="69"/>
        <item x="87"/>
        <item x="35"/>
        <item x="29"/>
        <item x="117"/>
        <item x="84"/>
        <item x="3"/>
        <item x="121"/>
        <item x="106"/>
        <item x="59"/>
        <item x="50"/>
        <item x="12"/>
        <item x="73"/>
        <item x="33"/>
        <item x="2"/>
        <item x="90"/>
        <item x="108"/>
        <item x="156"/>
        <item x="132"/>
        <item x="20"/>
        <item x="30"/>
        <item x="4"/>
        <item x="52"/>
        <item x="157"/>
        <item x="166"/>
        <item x="173"/>
        <item x="32"/>
        <item x="99"/>
        <item x="143"/>
        <item x="148"/>
        <item x="47"/>
        <item x="175"/>
        <item x="27"/>
        <item x="0"/>
        <item x="26"/>
        <item t="default"/>
      </items>
      <autoSortScope>
        <pivotArea dataOnly="0" outline="0" fieldPosition="0">
          <references count="1">
            <reference field="4294967294" count="1" selected="0">
              <x v="2"/>
            </reference>
          </references>
        </pivotArea>
      </autoSortScope>
    </pivotField>
    <pivotField axis="axisPage" multipleItemSelectionAllowed="1" showAll="0">
      <items count="5">
        <item x="1"/>
        <item x="2"/>
        <item x="3"/>
        <item h="1" x="0"/>
        <item t="default"/>
      </items>
    </pivotField>
    <pivotField showAll="0"/>
    <pivotField showAll="0"/>
    <pivotField axis="axisPage" multipleItemSelectionAllowed="1" showAll="0">
      <items count="7">
        <item h="1" x="5"/>
        <item h="1" x="2"/>
        <item x="4"/>
        <item x="1"/>
        <item x="3"/>
        <item h="1" x="0"/>
        <item t="default"/>
      </items>
    </pivotField>
    <pivotField showAll="0"/>
    <pivotField showAll="0"/>
    <pivotField showAll="0"/>
    <pivotField showAll="0"/>
    <pivotField showAll="0"/>
    <pivotField showAll="0"/>
    <pivotField axis="axisPage" dataField="1" multipleItemSelectionAllowed="1" showAll="0">
      <items count="6">
        <item x="3"/>
        <item x="4"/>
        <item x="2"/>
        <item x="1"/>
        <item x="0"/>
        <item t="default"/>
      </items>
    </pivotField>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showAll="0"/>
  </pivotFields>
  <rowFields count="1">
    <field x="2"/>
  </rowFields>
  <rowItems count="129">
    <i>
      <x v="43"/>
    </i>
    <i>
      <x v="161"/>
    </i>
    <i>
      <x v="19"/>
    </i>
    <i>
      <x v="135"/>
    </i>
    <i>
      <x v="102"/>
    </i>
    <i>
      <x v="57"/>
    </i>
    <i>
      <x v="141"/>
    </i>
    <i>
      <x v="7"/>
    </i>
    <i>
      <x v="18"/>
    </i>
    <i>
      <x v="118"/>
    </i>
    <i>
      <x v="12"/>
    </i>
    <i>
      <x v="29"/>
    </i>
    <i>
      <x v="49"/>
    </i>
    <i>
      <x v="28"/>
    </i>
    <i>
      <x v="30"/>
    </i>
    <i>
      <x v="70"/>
    </i>
    <i>
      <x v="86"/>
    </i>
    <i>
      <x v="172"/>
    </i>
    <i>
      <x v="124"/>
    </i>
    <i>
      <x v="69"/>
    </i>
    <i>
      <x v="127"/>
    </i>
    <i>
      <x v="99"/>
    </i>
    <i>
      <x v="119"/>
    </i>
    <i>
      <x v="138"/>
    </i>
    <i>
      <x v="37"/>
    </i>
    <i>
      <x v="11"/>
    </i>
    <i>
      <x v="115"/>
    </i>
    <i>
      <x v="78"/>
    </i>
    <i>
      <x v="98"/>
    </i>
    <i>
      <x v="159"/>
    </i>
    <i>
      <x v="93"/>
    </i>
    <i>
      <x v="164"/>
    </i>
    <i>
      <x v="54"/>
    </i>
    <i>
      <x v="101"/>
    </i>
    <i>
      <x v="63"/>
    </i>
    <i>
      <x v="76"/>
    </i>
    <i>
      <x v="85"/>
    </i>
    <i>
      <x v="167"/>
    </i>
    <i>
      <x v="62"/>
    </i>
    <i>
      <x v="150"/>
    </i>
    <i>
      <x v="151"/>
    </i>
    <i>
      <x v="53"/>
    </i>
    <i>
      <x v="134"/>
    </i>
    <i>
      <x v="156"/>
    </i>
    <i>
      <x v="72"/>
    </i>
    <i>
      <x v="116"/>
    </i>
    <i>
      <x v="147"/>
    </i>
    <i>
      <x v="41"/>
    </i>
    <i>
      <x v="128"/>
    </i>
    <i>
      <x v="154"/>
    </i>
    <i>
      <x v="174"/>
    </i>
    <i>
      <x v="125"/>
    </i>
    <i>
      <x v="25"/>
    </i>
    <i>
      <x v="143"/>
    </i>
    <i>
      <x v="66"/>
    </i>
    <i>
      <x v="74"/>
    </i>
    <i>
      <x v="32"/>
    </i>
    <i>
      <x v="26"/>
    </i>
    <i>
      <x v="31"/>
    </i>
    <i>
      <x v="155"/>
    </i>
    <i>
      <x v="144"/>
    </i>
    <i>
      <x v="163"/>
    </i>
    <i>
      <x v="45"/>
    </i>
    <i>
      <x v="17"/>
    </i>
    <i>
      <x v="162"/>
    </i>
    <i>
      <x v="112"/>
    </i>
    <i>
      <x v="5"/>
    </i>
    <i>
      <x v="8"/>
    </i>
    <i>
      <x v="123"/>
    </i>
    <i>
      <x v="58"/>
    </i>
    <i>
      <x v="122"/>
    </i>
    <i>
      <x v="96"/>
    </i>
    <i>
      <x v="71"/>
    </i>
    <i>
      <x v="2"/>
    </i>
    <i>
      <x v="130"/>
    </i>
    <i>
      <x v="145"/>
    </i>
    <i>
      <x v="27"/>
    </i>
    <i>
      <x v="1"/>
    </i>
    <i>
      <x/>
    </i>
    <i>
      <x v="108"/>
    </i>
    <i>
      <x v="48"/>
    </i>
    <i>
      <x v="165"/>
    </i>
    <i>
      <x v="104"/>
    </i>
    <i>
      <x v="65"/>
    </i>
    <i>
      <x v="68"/>
    </i>
    <i>
      <x v="146"/>
    </i>
    <i>
      <x v="84"/>
    </i>
    <i>
      <x v="13"/>
    </i>
    <i>
      <x v="169"/>
    </i>
    <i>
      <x v="176"/>
    </i>
    <i>
      <x v="168"/>
    </i>
    <i>
      <x v="64"/>
    </i>
    <i>
      <x v="139"/>
    </i>
    <i>
      <x v="77"/>
    </i>
    <i>
      <x v="14"/>
    </i>
    <i>
      <x v="109"/>
    </i>
    <i>
      <x v="132"/>
    </i>
    <i>
      <x v="21"/>
    </i>
    <i>
      <x v="81"/>
    </i>
    <i>
      <x v="136"/>
    </i>
    <i>
      <x v="152"/>
    </i>
    <i>
      <x v="121"/>
    </i>
    <i>
      <x v="15"/>
    </i>
    <i>
      <x v="106"/>
    </i>
    <i>
      <x v="89"/>
    </i>
    <i>
      <x v="20"/>
    </i>
    <i>
      <x v="140"/>
    </i>
    <i>
      <x v="157"/>
    </i>
    <i>
      <x v="95"/>
    </i>
    <i>
      <x v="80"/>
    </i>
    <i>
      <x v="36"/>
    </i>
    <i>
      <x v="131"/>
    </i>
    <i>
      <x v="158"/>
    </i>
    <i>
      <x v="149"/>
    </i>
    <i>
      <x v="170"/>
    </i>
    <i>
      <x v="171"/>
    </i>
    <i>
      <x v="9"/>
    </i>
    <i>
      <x v="56"/>
    </i>
    <i>
      <x v="133"/>
    </i>
    <i>
      <x v="61"/>
    </i>
    <i>
      <x v="38"/>
    </i>
    <i>
      <x v="67"/>
    </i>
    <i>
      <x v="94"/>
    </i>
    <i>
      <x v="46"/>
    </i>
    <i>
      <x v="88"/>
    </i>
    <i>
      <x v="59"/>
    </i>
    <i>
      <x v="24"/>
    </i>
    <i>
      <x v="10"/>
    </i>
    <i t="grand">
      <x/>
    </i>
  </rowItems>
  <colFields count="1">
    <field x="-2"/>
  </colFields>
  <colItems count="3">
    <i>
      <x/>
    </i>
    <i i="1">
      <x v="1"/>
    </i>
    <i i="2">
      <x v="2"/>
    </i>
  </colItems>
  <pageFields count="3">
    <pageField fld="6" hier="-1"/>
    <pageField fld="13" hier="-1"/>
    <pageField fld="3" hier="-1"/>
  </pageFields>
  <dataFields count="3">
    <dataField name="Sum of 2028 Demand - Additional daily trips" fld="20" baseField="0" baseItem="0"/>
    <dataField name="Average of Deliverability Score" fld="13" subtotal="average" baseField="1" baseItem="0"/>
    <dataField name="Average of Proxy Value for Money (cycle demand*km / cost)" fld="21" subtotal="average" baseField="2" baseItem="0"/>
  </dataFields>
  <formats count="4">
    <format dxfId="9">
      <pivotArea dataOnly="0" labelOnly="1" outline="0" fieldPosition="0">
        <references count="1">
          <reference field="4294967294" count="1">
            <x v="1"/>
          </reference>
        </references>
      </pivotArea>
    </format>
    <format dxfId="8">
      <pivotArea dataOnly="0" labelOnly="1" outline="0" fieldPosition="0">
        <references count="1">
          <reference field="4294967294" count="1">
            <x v="0"/>
          </reference>
        </references>
      </pivotArea>
    </format>
    <format dxfId="7">
      <pivotArea collapsedLevelsAreSubtotals="1" fieldPosition="0">
        <references count="2">
          <reference field="4294967294" count="1" selected="0">
            <x v="2"/>
          </reference>
          <reference field="2" count="128">
            <x v="0"/>
            <x v="1"/>
            <x v="2"/>
            <x v="5"/>
            <x v="7"/>
            <x v="8"/>
            <x v="9"/>
            <x v="10"/>
            <x v="11"/>
            <x v="12"/>
            <x v="13"/>
            <x v="14"/>
            <x v="15"/>
            <x v="17"/>
            <x v="18"/>
            <x v="19"/>
            <x v="20"/>
            <x v="21"/>
            <x v="24"/>
            <x v="25"/>
            <x v="26"/>
            <x v="27"/>
            <x v="28"/>
            <x v="29"/>
            <x v="30"/>
            <x v="31"/>
            <x v="32"/>
            <x v="36"/>
            <x v="37"/>
            <x v="38"/>
            <x v="41"/>
            <x v="43"/>
            <x v="45"/>
            <x v="46"/>
            <x v="48"/>
            <x v="49"/>
            <x v="53"/>
            <x v="54"/>
            <x v="56"/>
            <x v="57"/>
            <x v="58"/>
            <x v="59"/>
            <x v="61"/>
            <x v="62"/>
            <x v="63"/>
            <x v="64"/>
            <x v="65"/>
            <x v="66"/>
            <x v="67"/>
            <x v="68"/>
            <x v="69"/>
            <x v="70"/>
            <x v="71"/>
            <x v="72"/>
            <x v="74"/>
            <x v="76"/>
            <x v="77"/>
            <x v="78"/>
            <x v="80"/>
            <x v="81"/>
            <x v="84"/>
            <x v="85"/>
            <x v="86"/>
            <x v="88"/>
            <x v="89"/>
            <x v="93"/>
            <x v="94"/>
            <x v="95"/>
            <x v="96"/>
            <x v="98"/>
            <x v="99"/>
            <x v="101"/>
            <x v="102"/>
            <x v="104"/>
            <x v="106"/>
            <x v="108"/>
            <x v="109"/>
            <x v="112"/>
            <x v="115"/>
            <x v="116"/>
            <x v="118"/>
            <x v="119"/>
            <x v="121"/>
            <x v="122"/>
            <x v="123"/>
            <x v="124"/>
            <x v="125"/>
            <x v="127"/>
            <x v="128"/>
            <x v="130"/>
            <x v="131"/>
            <x v="132"/>
            <x v="133"/>
            <x v="134"/>
            <x v="135"/>
            <x v="136"/>
            <x v="138"/>
            <x v="139"/>
            <x v="140"/>
            <x v="141"/>
            <x v="143"/>
            <x v="144"/>
            <x v="145"/>
            <x v="146"/>
            <x v="147"/>
            <x v="149"/>
            <x v="150"/>
            <x v="151"/>
            <x v="152"/>
            <x v="154"/>
            <x v="155"/>
            <x v="156"/>
            <x v="157"/>
            <x v="158"/>
            <x v="159"/>
            <x v="161"/>
            <x v="162"/>
            <x v="163"/>
            <x v="164"/>
            <x v="165"/>
            <x v="167"/>
            <x v="168"/>
            <x v="169"/>
            <x v="170"/>
            <x v="171"/>
            <x v="172"/>
            <x v="174"/>
            <x v="176"/>
          </reference>
        </references>
      </pivotArea>
    </format>
    <format dxfId="6">
      <pivotArea dataOnly="0" labelOnly="1" outline="0" fieldPosition="0">
        <references count="1">
          <reference field="4294967294" count="1">
            <x v="2"/>
          </reference>
        </references>
      </pivotArea>
    </format>
  </formats>
  <conditionalFormats count="1">
    <conditionalFormat priority="1">
      <pivotAreas count="1">
        <pivotArea type="data" collapsedLevelsAreSubtotals="1" fieldPosition="0">
          <references count="2">
            <reference field="4294967294" count="1" selected="0">
              <x v="2"/>
            </reference>
            <reference field="2" count="128">
              <x v="0"/>
              <x v="1"/>
              <x v="2"/>
              <x v="5"/>
              <x v="7"/>
              <x v="8"/>
              <x v="9"/>
              <x v="10"/>
              <x v="11"/>
              <x v="12"/>
              <x v="13"/>
              <x v="14"/>
              <x v="15"/>
              <x v="17"/>
              <x v="18"/>
              <x v="19"/>
              <x v="20"/>
              <x v="21"/>
              <x v="24"/>
              <x v="25"/>
              <x v="26"/>
              <x v="27"/>
              <x v="28"/>
              <x v="29"/>
              <x v="30"/>
              <x v="31"/>
              <x v="32"/>
              <x v="36"/>
              <x v="37"/>
              <x v="38"/>
              <x v="41"/>
              <x v="43"/>
              <x v="45"/>
              <x v="46"/>
              <x v="48"/>
              <x v="49"/>
              <x v="53"/>
              <x v="54"/>
              <x v="56"/>
              <x v="57"/>
              <x v="58"/>
              <x v="59"/>
              <x v="61"/>
              <x v="62"/>
              <x v="63"/>
              <x v="64"/>
              <x v="65"/>
              <x v="66"/>
              <x v="67"/>
              <x v="68"/>
              <x v="69"/>
              <x v="70"/>
              <x v="71"/>
              <x v="72"/>
              <x v="74"/>
              <x v="76"/>
              <x v="77"/>
              <x v="78"/>
              <x v="80"/>
              <x v="81"/>
              <x v="84"/>
              <x v="85"/>
              <x v="86"/>
              <x v="88"/>
              <x v="89"/>
              <x v="93"/>
              <x v="94"/>
              <x v="95"/>
              <x v="96"/>
              <x v="98"/>
              <x v="99"/>
              <x v="101"/>
              <x v="102"/>
              <x v="104"/>
              <x v="106"/>
              <x v="108"/>
              <x v="109"/>
              <x v="112"/>
              <x v="115"/>
              <x v="116"/>
              <x v="118"/>
              <x v="119"/>
              <x v="121"/>
              <x v="122"/>
              <x v="123"/>
              <x v="124"/>
              <x v="125"/>
              <x v="127"/>
              <x v="128"/>
              <x v="130"/>
              <x v="131"/>
              <x v="132"/>
              <x v="133"/>
              <x v="134"/>
              <x v="135"/>
              <x v="136"/>
              <x v="138"/>
              <x v="139"/>
              <x v="140"/>
              <x v="141"/>
              <x v="143"/>
              <x v="144"/>
              <x v="145"/>
              <x v="146"/>
              <x v="147"/>
              <x v="149"/>
              <x v="150"/>
              <x v="151"/>
              <x v="152"/>
              <x v="154"/>
              <x v="155"/>
              <x v="156"/>
              <x v="157"/>
              <x v="158"/>
              <x v="159"/>
              <x v="161"/>
              <x v="162"/>
              <x v="163"/>
              <x v="164"/>
              <x v="165"/>
              <x v="167"/>
              <x v="168"/>
              <x v="169"/>
              <x v="170"/>
              <x v="171"/>
              <x v="172"/>
              <x v="174"/>
              <x v="176"/>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2097A05-81BC-4877-AD33-BE351FCDDDBE}"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D31" firstHeaderRow="0" firstDataRow="1" firstDataCol="1" rowPageCount="3" colPageCount="1"/>
  <pivotFields count="28">
    <pivotField showAll="0"/>
    <pivotField showAll="0"/>
    <pivotField axis="axisRow" showAll="0" sortType="descending">
      <items count="178">
        <item x="79"/>
        <item x="28"/>
        <item x="127"/>
        <item x="142"/>
        <item x="161"/>
        <item x="25"/>
        <item x="18"/>
        <item x="14"/>
        <item x="70"/>
        <item x="77"/>
        <item x="145"/>
        <item x="162"/>
        <item x="42"/>
        <item x="43"/>
        <item x="164"/>
        <item x="57"/>
        <item x="113"/>
        <item x="51"/>
        <item x="41"/>
        <item x="17"/>
        <item x="118"/>
        <item x="110"/>
        <item x="171"/>
        <item x="54"/>
        <item x="144"/>
        <item x="88"/>
        <item x="61"/>
        <item x="75"/>
        <item x="48"/>
        <item x="153"/>
        <item x="16"/>
        <item x="34"/>
        <item x="62"/>
        <item x="105"/>
        <item x="55"/>
        <item x="114"/>
        <item x="89"/>
        <item x="155"/>
        <item x="122"/>
        <item x="136"/>
        <item x="128"/>
        <item x="96"/>
        <item x="130"/>
        <item x="174"/>
        <item x="129"/>
        <item x="6"/>
        <item x="150"/>
        <item m="1" x="176"/>
        <item x="44"/>
        <item x="37"/>
        <item x="141"/>
        <item x="147"/>
        <item x="146"/>
        <item x="154"/>
        <item x="63"/>
        <item x="116"/>
        <item x="151"/>
        <item x="158"/>
        <item x="81"/>
        <item x="139"/>
        <item x="102"/>
        <item x="68"/>
        <item x="76"/>
        <item x="45"/>
        <item x="36"/>
        <item x="22"/>
        <item x="163"/>
        <item x="134"/>
        <item x="10"/>
        <item x="65"/>
        <item x="15"/>
        <item x="82"/>
        <item x="103"/>
        <item x="100"/>
        <item x="5"/>
        <item x="119"/>
        <item x="85"/>
        <item x="78"/>
        <item x="24"/>
        <item x="66"/>
        <item x="107"/>
        <item x="49"/>
        <item x="120"/>
        <item x="115"/>
        <item x="126"/>
        <item x="8"/>
        <item x="46"/>
        <item x="152"/>
        <item x="140"/>
        <item x="94"/>
        <item x="111"/>
        <item x="169"/>
        <item x="56"/>
        <item x="97"/>
        <item x="138"/>
        <item x="112"/>
        <item x="71"/>
        <item x="91"/>
        <item x="39"/>
        <item x="64"/>
        <item x="40"/>
        <item x="38"/>
        <item x="21"/>
        <item x="168"/>
        <item x="19"/>
        <item x="72"/>
        <item x="159"/>
        <item x="101"/>
        <item x="67"/>
        <item x="86"/>
        <item x="167"/>
        <item x="165"/>
        <item x="23"/>
        <item x="98"/>
        <item x="135"/>
        <item x="53"/>
        <item x="104"/>
        <item x="131"/>
        <item x="13"/>
        <item x="1"/>
        <item x="95"/>
        <item x="123"/>
        <item x="92"/>
        <item x="80"/>
        <item x="7"/>
        <item x="11"/>
        <item x="125"/>
        <item x="60"/>
        <item x="83"/>
        <item x="124"/>
        <item x="160"/>
        <item x="172"/>
        <item x="109"/>
        <item x="93"/>
        <item x="137"/>
        <item x="58"/>
        <item x="133"/>
        <item x="149"/>
        <item x="74"/>
        <item x="31"/>
        <item x="9"/>
        <item x="170"/>
        <item x="69"/>
        <item x="87"/>
        <item x="35"/>
        <item x="29"/>
        <item x="117"/>
        <item x="84"/>
        <item x="3"/>
        <item x="121"/>
        <item x="106"/>
        <item x="59"/>
        <item x="50"/>
        <item x="12"/>
        <item x="73"/>
        <item x="33"/>
        <item x="2"/>
        <item x="90"/>
        <item x="108"/>
        <item x="156"/>
        <item x="132"/>
        <item x="20"/>
        <item x="30"/>
        <item x="4"/>
        <item x="52"/>
        <item x="157"/>
        <item x="166"/>
        <item x="173"/>
        <item x="32"/>
        <item x="99"/>
        <item x="143"/>
        <item x="148"/>
        <item x="47"/>
        <item x="175"/>
        <item x="27"/>
        <item x="0"/>
        <item x="26"/>
        <item t="default"/>
      </items>
      <autoSortScope>
        <pivotArea dataOnly="0" outline="0" fieldPosition="0">
          <references count="1">
            <reference field="4294967294" count="1" selected="0">
              <x v="2"/>
            </reference>
          </references>
        </pivotArea>
      </autoSortScope>
    </pivotField>
    <pivotField showAll="0"/>
    <pivotField showAll="0"/>
    <pivotField showAll="0"/>
    <pivotField axis="axisPage" multipleItemSelectionAllowed="1" showAll="0">
      <items count="7">
        <item h="1" x="5"/>
        <item h="1" x="2"/>
        <item x="4"/>
        <item x="1"/>
        <item x="3"/>
        <item h="1" x="0"/>
        <item t="default"/>
      </items>
    </pivotField>
    <pivotField showAll="0"/>
    <pivotField showAll="0"/>
    <pivotField showAll="0"/>
    <pivotField showAll="0"/>
    <pivotField showAll="0"/>
    <pivotField showAll="0"/>
    <pivotField axis="axisPage" dataField="1" multipleItemSelectionAllowed="1" showAll="0">
      <items count="6">
        <item x="3"/>
        <item x="4"/>
        <item x="2"/>
        <item x="1"/>
        <item x="0"/>
        <item t="default"/>
      </items>
    </pivotField>
    <pivotField showAll="0"/>
    <pivotField showAll="0"/>
    <pivotField showAll="0"/>
    <pivotField dataField="1" showAll="0"/>
    <pivotField showAll="0"/>
    <pivotField showAll="0"/>
    <pivotField axis="axisPage" dataField="1" multipleItemSelectionAllowed="1" showAll="0">
      <items count="208">
        <item h="1" x="104"/>
        <item h="1" m="1" x="187"/>
        <item h="1" m="1" x="194"/>
        <item h="1" m="1" x="197"/>
        <item h="1" m="1" x="203"/>
        <item h="1" m="1" x="172"/>
        <item h="1" m="1" x="179"/>
        <item h="1" x="31"/>
        <item h="1" x="65"/>
        <item h="1" m="1" x="191"/>
        <item h="1" m="1" x="176"/>
        <item h="1" m="1" x="198"/>
        <item h="1" x="76"/>
        <item h="1" m="1" x="193"/>
        <item h="1" m="1" x="163"/>
        <item h="1" m="1" x="146"/>
        <item h="1" m="1" x="180"/>
        <item h="1" m="1" x="189"/>
        <item h="1" m="1" x="173"/>
        <item h="1" m="1" x="159"/>
        <item h="1" m="1" x="184"/>
        <item h="1" m="1" x="195"/>
        <item h="1" m="1" x="150"/>
        <item h="1" m="1" x="188"/>
        <item h="1" m="1" x="170"/>
        <item h="1" x="22"/>
        <item h="1" m="1" x="156"/>
        <item h="1" x="85"/>
        <item h="1" x="103"/>
        <item h="1" m="1" x="204"/>
        <item h="1" m="1" x="164"/>
        <item h="1" m="1" x="181"/>
        <item h="1" m="1" x="149"/>
        <item h="1" m="1" x="177"/>
        <item h="1" m="1" x="162"/>
        <item h="1" x="99"/>
        <item h="1" m="1" x="139"/>
        <item h="1" x="115"/>
        <item h="1" x="56"/>
        <item h="1" x="47"/>
        <item h="1" m="1" x="167"/>
        <item h="1" m="1" x="153"/>
        <item h="1" m="1" x="165"/>
        <item h="1" x="98"/>
        <item h="1" m="1" x="147"/>
        <item h="1" x="36"/>
        <item h="1" m="1" x="168"/>
        <item h="1" x="24"/>
        <item h="1" m="1" x="140"/>
        <item h="1" x="116"/>
        <item h="1" x="132"/>
        <item h="1" x="95"/>
        <item h="1" x="74"/>
        <item h="1" m="1" x="160"/>
        <item h="1" m="1" x="185"/>
        <item h="1" x="119"/>
        <item h="1" m="1" x="175"/>
        <item h="1" x="30"/>
        <item h="1" m="1" x="199"/>
        <item m="1" x="144"/>
        <item x="57"/>
        <item m="1" x="157"/>
        <item m="1" x="141"/>
        <item m="1" x="182"/>
        <item m="1" x="142"/>
        <item m="1" x="178"/>
        <item m="1" x="200"/>
        <item x="123"/>
        <item m="1" x="155"/>
        <item m="1" x="171"/>
        <item m="1" x="154"/>
        <item m="1" x="151"/>
        <item x="15"/>
        <item m="1" x="174"/>
        <item x="66"/>
        <item m="1" x="205"/>
        <item m="1" x="196"/>
        <item x="16"/>
        <item x="96"/>
        <item x="117"/>
        <item x="46"/>
        <item x="38"/>
        <item x="134"/>
        <item m="1" x="166"/>
        <item x="130"/>
        <item m="1" x="206"/>
        <item x="25"/>
        <item x="133"/>
        <item m="1" x="201"/>
        <item x="122"/>
        <item m="1" x="183"/>
        <item x="48"/>
        <item x="131"/>
        <item m="1" x="158"/>
        <item x="58"/>
        <item x="59"/>
        <item m="1" x="143"/>
        <item x="37"/>
        <item x="55"/>
        <item x="121"/>
        <item x="17"/>
        <item m="1" x="145"/>
        <item m="1" x="202"/>
        <item m="1" x="152"/>
        <item m="1" x="192"/>
        <item x="114"/>
        <item m="1" x="186"/>
        <item x="97"/>
        <item m="1" x="161"/>
        <item x="118"/>
        <item x="136"/>
        <item m="1" x="148"/>
        <item x="42"/>
        <item x="137"/>
        <item x="120"/>
        <item x="21"/>
        <item m="1" x="169"/>
        <item m="1" x="190"/>
        <item h="1" x="0"/>
        <item h="1" x="26"/>
        <item h="1" x="64"/>
        <item h="1" x="71"/>
        <item h="1" x="72"/>
        <item h="1" x="73"/>
        <item h="1" x="81"/>
        <item h="1" x="100"/>
        <item h="1" x="11"/>
        <item h="1" x="101"/>
        <item h="1" x="82"/>
        <item h="1" x="83"/>
        <item h="1" x="84"/>
        <item h="1" x="102"/>
        <item h="1" x="124"/>
        <item h="1" m="1" x="138"/>
        <item h="1" x="75"/>
        <item h="1" x="125"/>
        <item h="1" x="126"/>
        <item h="1" x="127"/>
        <item h="1" x="1"/>
        <item h="1" x="2"/>
        <item h="1" x="3"/>
        <item h="1" x="33"/>
        <item h="1" x="34"/>
        <item h="1" x="18"/>
        <item h="1" x="4"/>
        <item h="1" x="5"/>
        <item h="1" x="43"/>
        <item h="1" x="77"/>
        <item h="1" x="105"/>
        <item h="1" x="106"/>
        <item h="1" x="107"/>
        <item h="1" x="6"/>
        <item h="1" x="78"/>
        <item h="1" x="86"/>
        <item h="1" x="87"/>
        <item h="1" x="88"/>
        <item h="1" x="7"/>
        <item h="1" x="8"/>
        <item h="1" x="79"/>
        <item h="1" x="89"/>
        <item h="1" x="108"/>
        <item h="1" x="35"/>
        <item h="1" x="67"/>
        <item h="1" x="68"/>
        <item h="1" x="109"/>
        <item h="1" x="128"/>
        <item h="1" x="19"/>
        <item h="1" x="20"/>
        <item h="1" x="129"/>
        <item h="1" x="12"/>
        <item h="1" x="13"/>
        <item h="1" x="14"/>
        <item h="1" x="69"/>
        <item h="1" x="9"/>
        <item h="1" x="10"/>
        <item h="1" x="39"/>
        <item h="1" x="40"/>
        <item h="1" x="41"/>
        <item h="1" x="60"/>
        <item h="1" x="23"/>
        <item h="1" x="61"/>
        <item h="1" x="62"/>
        <item h="1" x="70"/>
        <item h="1" x="49"/>
        <item h="1" x="50"/>
        <item h="1" x="51"/>
        <item h="1" x="52"/>
        <item h="1" x="53"/>
        <item h="1" x="54"/>
        <item h="1" x="90"/>
        <item h="1" x="91"/>
        <item h="1" x="92"/>
        <item h="1" x="110"/>
        <item h="1" x="111"/>
        <item h="1" x="112"/>
        <item h="1" x="44"/>
        <item h="1" x="45"/>
        <item h="1" x="63"/>
        <item h="1" x="80"/>
        <item h="1" x="93"/>
        <item h="1" x="94"/>
        <item h="1" x="113"/>
        <item h="1" x="135"/>
        <item h="1" x="32"/>
        <item h="1" x="27"/>
        <item h="1" x="28"/>
        <item h="1" x="29"/>
        <item t="default"/>
      </items>
    </pivotField>
    <pivotField showAll="0"/>
    <pivotField showAll="0"/>
    <pivotField showAll="0"/>
    <pivotField showAll="0"/>
    <pivotField showAll="0"/>
    <pivotField showAll="0"/>
    <pivotField showAll="0"/>
  </pivotFields>
  <rowFields count="1">
    <field x="2"/>
  </rowFields>
  <rowItems count="26">
    <i>
      <x v="102"/>
    </i>
    <i>
      <x v="159"/>
    </i>
    <i>
      <x v="43"/>
    </i>
    <i>
      <x v="63"/>
    </i>
    <i>
      <x v="167"/>
    </i>
    <i>
      <x v="53"/>
    </i>
    <i>
      <x v="132"/>
    </i>
    <i>
      <x v="134"/>
    </i>
    <i>
      <x v="19"/>
    </i>
    <i>
      <x v="165"/>
    </i>
    <i>
      <x v="135"/>
    </i>
    <i>
      <x v="32"/>
    </i>
    <i>
      <x v="26"/>
    </i>
    <i>
      <x v="17"/>
    </i>
    <i>
      <x v="57"/>
    </i>
    <i>
      <x v="141"/>
    </i>
    <i>
      <x v="5"/>
    </i>
    <i>
      <x v="18"/>
    </i>
    <i>
      <x v="81"/>
    </i>
    <i>
      <x v="29"/>
    </i>
    <i>
      <x v="158"/>
    </i>
    <i>
      <x v="30"/>
    </i>
    <i>
      <x v="70"/>
    </i>
    <i>
      <x v="106"/>
    </i>
    <i>
      <x v="127"/>
    </i>
    <i t="grand">
      <x/>
    </i>
  </rowItems>
  <colFields count="1">
    <field x="-2"/>
  </colFields>
  <colItems count="3">
    <i>
      <x/>
    </i>
    <i i="1">
      <x v="1"/>
    </i>
    <i i="2">
      <x v="2"/>
    </i>
  </colItems>
  <pageFields count="3">
    <pageField fld="20" hier="-1"/>
    <pageField fld="13" hier="-1"/>
    <pageField fld="6" hier="-1"/>
  </pageFields>
  <dataFields count="3">
    <dataField name="Average of Deliverability Score" fld="13" subtotal="average" baseField="1" baseItem="0"/>
    <dataField name="Average of Prioritisation SCORE" fld="17" subtotal="average" baseField="1" baseItem="0"/>
    <dataField name="Sum of 2028 Demand - Additional daily trips" fld="20" baseField="0" baseItem="0"/>
  </dataFields>
  <formats count="1">
    <format dxfId="5">
      <pivotArea dataOnly="0" labelOnly="1" outline="0" fieldPosition="0">
        <references count="1">
          <reference field="4294967294" count="3">
            <x v="0"/>
            <x v="1"/>
            <x v="2"/>
          </reference>
        </references>
      </pivotArea>
    </format>
  </formats>
  <conditionalFormats count="3">
    <conditionalFormat priority="2">
      <pivotAreas count="1">
        <pivotArea type="data" collapsedLevelsAreSubtotals="1" fieldPosition="0">
          <references count="2">
            <reference field="4294967294" count="1" selected="0">
              <x v="2"/>
            </reference>
            <reference field="2" count="52">
              <x v="1"/>
              <x v="5"/>
              <x v="7"/>
              <x v="8"/>
              <x v="12"/>
              <x v="14"/>
              <x v="17"/>
              <x v="18"/>
              <x v="19"/>
              <x v="26"/>
              <x v="29"/>
              <x v="30"/>
              <x v="32"/>
              <x v="43"/>
              <x v="45"/>
              <x v="47"/>
              <x v="48"/>
              <x v="49"/>
              <x v="53"/>
              <x v="57"/>
              <x v="63"/>
              <x v="70"/>
              <x v="71"/>
              <x v="81"/>
              <x v="89"/>
              <x v="96"/>
              <x v="101"/>
              <x v="102"/>
              <x v="104"/>
              <x v="106"/>
              <x v="108"/>
              <x v="112"/>
              <x v="118"/>
              <x v="124"/>
              <x v="125"/>
              <x v="127"/>
              <x v="130"/>
              <x v="131"/>
              <x v="132"/>
              <x v="133"/>
              <x v="134"/>
              <x v="135"/>
              <x v="141"/>
              <x v="145"/>
              <x v="157"/>
              <x v="158"/>
              <x v="159"/>
              <x v="161"/>
              <x v="162"/>
              <x v="163"/>
              <x v="165"/>
              <x v="167"/>
            </reference>
          </references>
        </pivotArea>
      </pivotAreas>
    </conditionalFormat>
    <conditionalFormat priority="5">
      <pivotAreas count="1">
        <pivotArea type="data" collapsedLevelsAreSubtotals="1" fieldPosition="0">
          <references count="2">
            <reference field="4294967294" count="1" selected="0">
              <x v="2"/>
            </reference>
            <reference field="2" count="41">
              <x v="5"/>
              <x v="7"/>
              <x v="8"/>
              <x v="12"/>
              <x v="14"/>
              <x v="17"/>
              <x v="18"/>
              <x v="19"/>
              <x v="26"/>
              <x v="29"/>
              <x v="30"/>
              <x v="32"/>
              <x v="43"/>
              <x v="45"/>
              <x v="47"/>
              <x v="48"/>
              <x v="49"/>
              <x v="53"/>
              <x v="57"/>
              <x v="63"/>
              <x v="70"/>
              <x v="71"/>
              <x v="89"/>
              <x v="96"/>
              <x v="101"/>
              <x v="102"/>
              <x v="104"/>
              <x v="112"/>
              <x v="118"/>
              <x v="124"/>
              <x v="125"/>
              <x v="127"/>
              <x v="134"/>
              <x v="135"/>
              <x v="141"/>
              <x v="145"/>
              <x v="159"/>
              <x v="161"/>
              <x v="162"/>
              <x v="163"/>
              <x v="167"/>
            </reference>
          </references>
        </pivotArea>
      </pivotAreas>
    </conditionalFormat>
    <conditionalFormat priority="6">
      <pivotAreas count="1">
        <pivotArea type="data" collapsedLevelsAreSubtotals="1" fieldPosition="0">
          <references count="2">
            <reference field="4294967294" count="1" selected="0">
              <x v="2"/>
            </reference>
            <reference field="2" count="21">
              <x v="7"/>
              <x v="12"/>
              <x v="18"/>
              <x v="19"/>
              <x v="29"/>
              <x v="30"/>
              <x v="43"/>
              <x v="45"/>
              <x v="47"/>
              <x v="49"/>
              <x v="57"/>
              <x v="70"/>
              <x v="102"/>
              <x v="112"/>
              <x v="118"/>
              <x v="124"/>
              <x v="127"/>
              <x v="135"/>
              <x v="141"/>
              <x v="161"/>
              <x v="163"/>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4" dT="2022-01-18T01:45:12.55" personId="{28EE2E8D-D4E4-47C0-80CA-761D60E524E0}" id="{984CF417-0149-4CF9-8EDF-50E405F63C93}">
    <text>Updated to $2m following feedback from AT Delivery and the need to treat intersections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C0C07-674A-4B0C-92C4-B83B2CBA3C39}">
  <sheetPr>
    <tabColor theme="9" tint="0.59999389629810485"/>
  </sheetPr>
  <dimension ref="A1:A18"/>
  <sheetViews>
    <sheetView workbookViewId="0">
      <selection activeCell="C10" sqref="C10"/>
    </sheetView>
  </sheetViews>
  <sheetFormatPr defaultRowHeight="15" x14ac:dyDescent="0.25"/>
  <cols>
    <col min="1" max="1" width="98.85546875" bestFit="1" customWidth="1"/>
  </cols>
  <sheetData>
    <row r="1" spans="1:1" ht="21" x14ac:dyDescent="0.35">
      <c r="A1" s="16" t="s">
        <v>0</v>
      </c>
    </row>
    <row r="3" spans="1:1" ht="18.75" x14ac:dyDescent="0.3">
      <c r="A3" s="17" t="s">
        <v>1</v>
      </c>
    </row>
    <row r="4" spans="1:1" ht="30" x14ac:dyDescent="0.25">
      <c r="A4" s="15" t="s">
        <v>2</v>
      </c>
    </row>
    <row r="6" spans="1:1" ht="18.75" x14ac:dyDescent="0.3">
      <c r="A6" s="17" t="s">
        <v>3</v>
      </c>
    </row>
    <row r="7" spans="1:1" ht="45" x14ac:dyDescent="0.25">
      <c r="A7" s="15" t="s">
        <v>4</v>
      </c>
    </row>
    <row r="9" spans="1:1" ht="18.75" x14ac:dyDescent="0.3">
      <c r="A9" s="17" t="s">
        <v>5</v>
      </c>
    </row>
    <row r="10" spans="1:1" ht="105" x14ac:dyDescent="0.25">
      <c r="A10" s="15" t="s">
        <v>6</v>
      </c>
    </row>
    <row r="11" spans="1:1" ht="75" x14ac:dyDescent="0.25">
      <c r="A11" s="15" t="s">
        <v>7</v>
      </c>
    </row>
    <row r="13" spans="1:1" ht="18.75" x14ac:dyDescent="0.3">
      <c r="A13" s="17" t="s">
        <v>8</v>
      </c>
    </row>
    <row r="14" spans="1:1" ht="30" x14ac:dyDescent="0.25">
      <c r="A14" s="15" t="s">
        <v>9</v>
      </c>
    </row>
    <row r="15" spans="1:1" ht="30" x14ac:dyDescent="0.25">
      <c r="A15" s="15" t="s">
        <v>10</v>
      </c>
    </row>
    <row r="16" spans="1:1" ht="45" x14ac:dyDescent="0.25">
      <c r="A16" s="15" t="s">
        <v>11</v>
      </c>
    </row>
    <row r="18" spans="1:1" x14ac:dyDescent="0.25">
      <c r="A18" s="15" t="s">
        <v>12</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754B6-81B6-4482-858E-A1FC7CBD8BEA}">
  <dimension ref="A1:F33"/>
  <sheetViews>
    <sheetView zoomScaleNormal="100" workbookViewId="0">
      <selection activeCell="D32" sqref="D32"/>
    </sheetView>
  </sheetViews>
  <sheetFormatPr defaultRowHeight="15" x14ac:dyDescent="0.25"/>
  <cols>
    <col min="1" max="1" width="44.140625" style="3" bestFit="1" customWidth="1"/>
    <col min="3" max="3" width="19.5703125" customWidth="1"/>
    <col min="4" max="4" width="38.85546875" customWidth="1"/>
    <col min="5" max="5" width="7.140625" style="3" customWidth="1"/>
  </cols>
  <sheetData>
    <row r="1" spans="1:4" x14ac:dyDescent="0.25">
      <c r="A1" s="2" t="s">
        <v>13</v>
      </c>
      <c r="B1" s="1" t="s">
        <v>14</v>
      </c>
    </row>
    <row r="2" spans="1:4" x14ac:dyDescent="0.25">
      <c r="A2" s="9" t="s">
        <v>15</v>
      </c>
      <c r="B2" s="13" t="s">
        <v>16</v>
      </c>
    </row>
    <row r="3" spans="1:4" x14ac:dyDescent="0.25">
      <c r="A3" s="8" t="s">
        <v>17</v>
      </c>
      <c r="B3" s="13" t="s">
        <v>16</v>
      </c>
    </row>
    <row r="4" spans="1:4" x14ac:dyDescent="0.25">
      <c r="A4" s="10" t="s">
        <v>18</v>
      </c>
      <c r="B4" s="13" t="s">
        <v>16</v>
      </c>
    </row>
    <row r="5" spans="1:4" x14ac:dyDescent="0.25">
      <c r="A5" s="3" t="s">
        <v>16</v>
      </c>
      <c r="B5" s="13" t="s">
        <v>16</v>
      </c>
    </row>
    <row r="7" spans="1:4" x14ac:dyDescent="0.25">
      <c r="A7" s="2" t="s">
        <v>19</v>
      </c>
      <c r="B7" s="1" t="s">
        <v>14</v>
      </c>
      <c r="D7" s="19"/>
    </row>
    <row r="8" spans="1:4" x14ac:dyDescent="0.25">
      <c r="A8" s="3" t="s">
        <v>20</v>
      </c>
      <c r="B8">
        <v>5</v>
      </c>
      <c r="D8" t="s">
        <v>21</v>
      </c>
    </row>
    <row r="9" spans="1:4" x14ac:dyDescent="0.25">
      <c r="A9" s="3" t="s">
        <v>22</v>
      </c>
      <c r="B9">
        <v>3</v>
      </c>
      <c r="D9" t="s">
        <v>23</v>
      </c>
    </row>
    <row r="10" spans="1:4" x14ac:dyDescent="0.25">
      <c r="A10" s="3" t="s">
        <v>24</v>
      </c>
      <c r="B10">
        <v>4</v>
      </c>
      <c r="D10" t="s">
        <v>25</v>
      </c>
    </row>
    <row r="11" spans="1:4" x14ac:dyDescent="0.25">
      <c r="A11" s="3" t="s">
        <v>26</v>
      </c>
      <c r="B11">
        <v>1</v>
      </c>
      <c r="D11" t="s">
        <v>27</v>
      </c>
    </row>
    <row r="12" spans="1:4" x14ac:dyDescent="0.25">
      <c r="A12" s="3" t="s">
        <v>28</v>
      </c>
      <c r="B12">
        <v>0</v>
      </c>
    </row>
    <row r="14" spans="1:4" x14ac:dyDescent="0.25">
      <c r="A14" s="2" t="s">
        <v>29</v>
      </c>
      <c r="D14" t="s">
        <v>30</v>
      </c>
    </row>
    <row r="15" spans="1:4" x14ac:dyDescent="0.25">
      <c r="A15" s="12">
        <v>4</v>
      </c>
      <c r="B15">
        <v>5</v>
      </c>
    </row>
    <row r="16" spans="1:4" x14ac:dyDescent="0.25">
      <c r="A16" s="12">
        <v>3</v>
      </c>
      <c r="B16">
        <v>5</v>
      </c>
    </row>
    <row r="17" spans="1:6" x14ac:dyDescent="0.25">
      <c r="A17" s="7">
        <v>2</v>
      </c>
      <c r="B17">
        <v>3</v>
      </c>
    </row>
    <row r="18" spans="1:6" x14ac:dyDescent="0.25">
      <c r="A18" s="11">
        <v>1</v>
      </c>
      <c r="B18">
        <v>1</v>
      </c>
    </row>
    <row r="20" spans="1:6" x14ac:dyDescent="0.25">
      <c r="A20" s="2" t="s">
        <v>31</v>
      </c>
    </row>
    <row r="21" spans="1:6" x14ac:dyDescent="0.25">
      <c r="A21" s="3" t="s">
        <v>32</v>
      </c>
      <c r="B21">
        <v>1</v>
      </c>
      <c r="D21" s="3" t="s">
        <v>32</v>
      </c>
      <c r="E21" s="3">
        <v>20</v>
      </c>
    </row>
    <row r="22" spans="1:6" x14ac:dyDescent="0.25">
      <c r="A22" s="3" t="s">
        <v>33</v>
      </c>
      <c r="B22">
        <v>2</v>
      </c>
      <c r="D22" s="3" t="s">
        <v>33</v>
      </c>
      <c r="E22" s="3">
        <v>10</v>
      </c>
      <c r="F22" t="s">
        <v>34</v>
      </c>
    </row>
    <row r="23" spans="1:6" x14ac:dyDescent="0.25">
      <c r="A23" s="3" t="s">
        <v>35</v>
      </c>
      <c r="B23">
        <v>3</v>
      </c>
      <c r="D23" s="3" t="s">
        <v>35</v>
      </c>
      <c r="E23" s="3">
        <v>5</v>
      </c>
      <c r="F23" t="s">
        <v>36</v>
      </c>
    </row>
    <row r="24" spans="1:6" x14ac:dyDescent="0.25">
      <c r="A24" s="3" t="s">
        <v>37</v>
      </c>
      <c r="B24">
        <v>5</v>
      </c>
      <c r="D24" s="3" t="s">
        <v>37</v>
      </c>
      <c r="E24" s="3">
        <v>2</v>
      </c>
      <c r="F24" t="s">
        <v>38</v>
      </c>
    </row>
    <row r="26" spans="1:6" ht="18.95" customHeight="1" x14ac:dyDescent="0.25">
      <c r="A26" s="23" t="s">
        <v>39</v>
      </c>
      <c r="D26" s="3"/>
    </row>
    <row r="27" spans="1:6" x14ac:dyDescent="0.25">
      <c r="A27" s="3" t="s">
        <v>40</v>
      </c>
      <c r="B27">
        <v>5</v>
      </c>
      <c r="D27" s="20" t="s">
        <v>41</v>
      </c>
    </row>
    <row r="28" spans="1:6" x14ac:dyDescent="0.25">
      <c r="A28" s="3" t="s">
        <v>42</v>
      </c>
      <c r="B28">
        <v>4</v>
      </c>
    </row>
    <row r="29" spans="1:6" x14ac:dyDescent="0.25">
      <c r="A29" s="3" t="s">
        <v>43</v>
      </c>
      <c r="B29">
        <v>3</v>
      </c>
    </row>
    <row r="30" spans="1:6" x14ac:dyDescent="0.25">
      <c r="A30" s="3" t="s">
        <v>44</v>
      </c>
      <c r="B30">
        <v>2</v>
      </c>
    </row>
    <row r="31" spans="1:6" x14ac:dyDescent="0.25">
      <c r="A31" s="3" t="s">
        <v>45</v>
      </c>
      <c r="B31">
        <v>1</v>
      </c>
    </row>
    <row r="33" spans="1:1" x14ac:dyDescent="0.25">
      <c r="A33" s="2"/>
    </row>
  </sheetData>
  <conditionalFormatting sqref="B8:B12">
    <cfRule type="colorScale" priority="5">
      <colorScale>
        <cfvo type="min"/>
        <cfvo type="percentile" val="50"/>
        <cfvo type="max"/>
        <color rgb="FFF8696B"/>
        <color rgb="FFFFEB84"/>
        <color rgb="FF63BE7B"/>
      </colorScale>
    </cfRule>
  </conditionalFormatting>
  <conditionalFormatting sqref="B15:B18">
    <cfRule type="colorScale" priority="4">
      <colorScale>
        <cfvo type="min"/>
        <cfvo type="percentile" val="50"/>
        <cfvo type="max"/>
        <color rgb="FFF8696B"/>
        <color rgb="FFFFEB84"/>
        <color rgb="FF63BE7B"/>
      </colorScale>
    </cfRule>
  </conditionalFormatting>
  <conditionalFormatting sqref="B27:B31">
    <cfRule type="colorScale" priority="2">
      <colorScale>
        <cfvo type="min"/>
        <cfvo type="percentile" val="50"/>
        <cfvo type="max"/>
        <color rgb="FFF8696B"/>
        <color rgb="FFFFEB84"/>
        <color rgb="FF63BE7B"/>
      </colorScale>
    </cfRule>
  </conditionalFormatting>
  <conditionalFormatting sqref="B21:B22 B24">
    <cfRule type="colorScale" priority="6">
      <colorScale>
        <cfvo type="min"/>
        <cfvo type="percentile" val="50"/>
        <cfvo type="max"/>
        <color rgb="FFF8696B"/>
        <color rgb="FFFFEB84"/>
        <color rgb="FF63BE7B"/>
      </colorScale>
    </cfRule>
  </conditionalFormatting>
  <conditionalFormatting sqref="B23">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9E28B-179B-4593-80AB-1B829633D96B}">
  <sheetPr>
    <tabColor rgb="FFFF0000"/>
  </sheetPr>
  <dimension ref="A1:AM179"/>
  <sheetViews>
    <sheetView tabSelected="1" zoomScale="70" zoomScaleNormal="70" workbookViewId="0">
      <pane xSplit="3" ySplit="1" topLeftCell="Y122" activePane="bottomRight" state="frozen"/>
      <selection pane="topRight" activeCell="D1" sqref="D1"/>
      <selection pane="bottomLeft" activeCell="A2" sqref="A2"/>
      <selection pane="bottomRight" activeCell="Y167" sqref="Y167"/>
    </sheetView>
  </sheetViews>
  <sheetFormatPr defaultColWidth="29.140625" defaultRowHeight="15" x14ac:dyDescent="0.25"/>
  <cols>
    <col min="1" max="1" width="5.85546875" style="5" bestFit="1" customWidth="1"/>
    <col min="2" max="2" width="17.140625" style="5" bestFit="1" customWidth="1"/>
    <col min="3" max="3" width="52.5703125" style="5" customWidth="1"/>
    <col min="4" max="4" width="18.42578125" style="5" customWidth="1"/>
    <col min="5" max="5" width="18.42578125" style="6" customWidth="1"/>
    <col min="6" max="6" width="22.5703125" style="5" customWidth="1"/>
    <col min="7" max="7" width="13.85546875" style="5" customWidth="1"/>
    <col min="8" max="8" width="224.140625" style="5" customWidth="1"/>
    <col min="9" max="9" width="13.140625" style="5" customWidth="1"/>
    <col min="10" max="10" width="13.85546875" style="5" customWidth="1"/>
    <col min="11" max="11" width="39" style="5" customWidth="1"/>
    <col min="12" max="12" width="16.42578125" style="5" customWidth="1"/>
    <col min="13" max="13" width="12.42578125" style="6" customWidth="1"/>
    <col min="14" max="14" width="14.42578125" style="5" customWidth="1"/>
    <col min="15" max="15" width="25.5703125" style="5" customWidth="1"/>
    <col min="16" max="16" width="16.5703125" style="5" customWidth="1"/>
    <col min="17" max="17" width="8.85546875" style="5" customWidth="1"/>
    <col min="18" max="20" width="14.85546875" style="6" customWidth="1"/>
    <col min="21" max="21" width="12.140625" style="6" customWidth="1"/>
    <col min="22" max="22" width="16.85546875" style="6" customWidth="1"/>
    <col min="23" max="23" width="12.5703125" style="6" customWidth="1"/>
    <col min="24" max="24" width="23.42578125" style="5" customWidth="1"/>
    <col min="25" max="25" width="28.5703125" style="5" customWidth="1"/>
    <col min="26" max="26" width="15.5703125" style="33" customWidth="1"/>
    <col min="27" max="27" width="17.140625" style="33" customWidth="1"/>
    <col min="28" max="28" width="19.5703125" style="33" customWidth="1"/>
    <col min="29" max="29" width="18.85546875" style="33" customWidth="1"/>
    <col min="30" max="32" width="17.140625" style="33" customWidth="1"/>
    <col min="33" max="33" width="15.140625" style="34" bestFit="1" customWidth="1"/>
    <col min="34" max="34" width="29.140625" style="41"/>
    <col min="35" max="16384" width="29.140625" style="5"/>
  </cols>
  <sheetData>
    <row r="1" spans="1:38" s="29" customFormat="1" ht="60" x14ac:dyDescent="0.25">
      <c r="A1" s="4" t="s">
        <v>46</v>
      </c>
      <c r="B1" s="4" t="s">
        <v>47</v>
      </c>
      <c r="C1" s="4" t="s">
        <v>48</v>
      </c>
      <c r="D1" s="4" t="s">
        <v>13</v>
      </c>
      <c r="E1" s="25" t="s">
        <v>49</v>
      </c>
      <c r="F1" s="4" t="s">
        <v>19</v>
      </c>
      <c r="G1" s="4" t="s">
        <v>50</v>
      </c>
      <c r="H1" s="4" t="s">
        <v>51</v>
      </c>
      <c r="I1" s="4" t="s">
        <v>52</v>
      </c>
      <c r="J1" s="4" t="s">
        <v>53</v>
      </c>
      <c r="K1" s="4" t="s">
        <v>54</v>
      </c>
      <c r="L1" s="4" t="s">
        <v>55</v>
      </c>
      <c r="M1" s="25" t="s">
        <v>56</v>
      </c>
      <c r="N1" s="4" t="s">
        <v>57</v>
      </c>
      <c r="O1" s="4" t="s">
        <v>58</v>
      </c>
      <c r="P1" s="4" t="s">
        <v>39</v>
      </c>
      <c r="Q1" s="4" t="s">
        <v>59</v>
      </c>
      <c r="R1" s="25" t="s">
        <v>60</v>
      </c>
      <c r="S1" s="25" t="s">
        <v>61</v>
      </c>
      <c r="T1" s="25" t="s">
        <v>62</v>
      </c>
      <c r="U1" s="25" t="s">
        <v>63</v>
      </c>
      <c r="V1" s="25" t="s">
        <v>64</v>
      </c>
      <c r="W1" s="26" t="s">
        <v>65</v>
      </c>
      <c r="X1" s="27" t="s">
        <v>66</v>
      </c>
      <c r="Y1" s="28" t="s">
        <v>67</v>
      </c>
      <c r="Z1" s="32" t="s">
        <v>68</v>
      </c>
      <c r="AA1" s="32" t="s">
        <v>69</v>
      </c>
      <c r="AB1" s="36" t="s">
        <v>70</v>
      </c>
      <c r="AC1" s="36" t="s">
        <v>71</v>
      </c>
      <c r="AD1" s="37" t="s">
        <v>72</v>
      </c>
      <c r="AE1" s="37" t="s">
        <v>73</v>
      </c>
      <c r="AF1" s="32" t="s">
        <v>74</v>
      </c>
      <c r="AG1" s="32" t="s">
        <v>75</v>
      </c>
      <c r="AH1" s="29" t="s">
        <v>76</v>
      </c>
      <c r="AI1" s="29" t="s">
        <v>77</v>
      </c>
      <c r="AJ1" s="29" t="s">
        <v>78</v>
      </c>
      <c r="AK1" s="29" t="s">
        <v>79</v>
      </c>
      <c r="AL1" s="29" t="s">
        <v>80</v>
      </c>
    </row>
    <row r="2" spans="1:38" s="29" customFormat="1" ht="28.5" customHeight="1" x14ac:dyDescent="0.25">
      <c r="A2" s="29">
        <v>1</v>
      </c>
      <c r="B2" s="29" t="s">
        <v>81</v>
      </c>
      <c r="C2" s="29" t="s">
        <v>81</v>
      </c>
      <c r="E2" s="25"/>
      <c r="F2" s="4"/>
      <c r="G2" s="4"/>
      <c r="H2" s="4"/>
      <c r="I2" s="4"/>
      <c r="J2" s="4"/>
      <c r="K2" s="4"/>
      <c r="L2" s="4"/>
      <c r="M2" s="25"/>
      <c r="N2" s="4"/>
      <c r="O2" s="4"/>
      <c r="P2" s="4"/>
      <c r="Q2" s="4"/>
      <c r="R2" s="30">
        <v>20</v>
      </c>
      <c r="S2" s="30"/>
      <c r="T2" s="30"/>
      <c r="U2" s="30"/>
      <c r="V2" s="6">
        <v>2000</v>
      </c>
      <c r="W2" s="6">
        <v>1</v>
      </c>
      <c r="X2" s="28"/>
      <c r="Y2" s="28"/>
      <c r="Z2" s="33">
        <v>0</v>
      </c>
      <c r="AA2" s="33">
        <v>0</v>
      </c>
      <c r="AB2" s="33">
        <v>0</v>
      </c>
      <c r="AC2" s="33">
        <v>0</v>
      </c>
      <c r="AD2" s="33">
        <v>0</v>
      </c>
      <c r="AE2" s="33">
        <v>0</v>
      </c>
      <c r="AF2" s="33"/>
      <c r="AG2" s="34">
        <v>0</v>
      </c>
    </row>
    <row r="3" spans="1:38" s="29" customFormat="1" x14ac:dyDescent="0.25">
      <c r="A3" s="29">
        <v>55</v>
      </c>
      <c r="B3" s="5" t="s">
        <v>82</v>
      </c>
      <c r="C3" s="5" t="s">
        <v>83</v>
      </c>
      <c r="D3" s="5" t="s">
        <v>18</v>
      </c>
      <c r="E3" s="6">
        <v>2</v>
      </c>
      <c r="F3" s="5" t="s">
        <v>24</v>
      </c>
      <c r="G3" s="5">
        <f>VLOOKUP(F3,Lookup!$A$8:$B$12,2,0)</f>
        <v>4</v>
      </c>
      <c r="H3" s="5" t="s">
        <v>84</v>
      </c>
      <c r="I3" s="5">
        <v>3</v>
      </c>
      <c r="J3" s="5">
        <f>VLOOKUP(I3,Lookup!$A$15:$B$18,2,0)</f>
        <v>5</v>
      </c>
      <c r="K3" s="5" t="s">
        <v>37</v>
      </c>
      <c r="L3" s="5">
        <v>2</v>
      </c>
      <c r="M3" s="6">
        <f t="shared" ref="M3:M34" si="0">E3*L3</f>
        <v>4</v>
      </c>
      <c r="N3" s="5">
        <f>VLOOKUP(K3,Lookup!$A$21:$B$24,2,0)</f>
        <v>5</v>
      </c>
      <c r="O3" s="5" t="s">
        <v>85</v>
      </c>
      <c r="P3" s="5" t="s">
        <v>43</v>
      </c>
      <c r="Q3" s="5">
        <f>VLOOKUP(P3,Lookup!$A$27:$B$31,2,0)</f>
        <v>3</v>
      </c>
      <c r="R3" s="6">
        <f t="shared" ref="R3:R34" si="1">G3+J3+N3+Q3</f>
        <v>17</v>
      </c>
      <c r="S3" s="6">
        <f>360*0.2+549*0.2</f>
        <v>181.8</v>
      </c>
      <c r="T3" s="6">
        <f>122</f>
        <v>122</v>
      </c>
      <c r="U3" s="6">
        <f t="shared" ref="U3:U37" si="2">T3+S3</f>
        <v>303.8</v>
      </c>
      <c r="V3" s="6">
        <f t="shared" ref="V3:V34" si="3">(IF(ISBLANK(U3)=TRUE,20,U3)*E3)/M3</f>
        <v>151.9</v>
      </c>
      <c r="W3" s="6">
        <v>5</v>
      </c>
      <c r="X3" s="18" t="s">
        <v>86</v>
      </c>
      <c r="Y3" s="5"/>
      <c r="Z3" s="33">
        <f>M3</f>
        <v>4</v>
      </c>
      <c r="AA3" s="33">
        <v>1</v>
      </c>
      <c r="AB3" s="33">
        <f t="shared" ref="AB3:AB34" si="4">Z3*0.3</f>
        <v>1.2</v>
      </c>
      <c r="AC3" s="33">
        <f t="shared" ref="AC3:AC34" si="5">AA3*0.3</f>
        <v>0.3</v>
      </c>
      <c r="AD3" s="33">
        <f t="shared" ref="AD3:AD34" si="6">Z3*0.3</f>
        <v>1.2</v>
      </c>
      <c r="AE3" s="33">
        <f t="shared" ref="AE3:AE34" si="7">AA3*0.3</f>
        <v>0.3</v>
      </c>
      <c r="AF3" s="33">
        <f t="shared" ref="AF3:AF34" si="8">SUM(Z3:AE3)*0.07</f>
        <v>0.56000000000000005</v>
      </c>
      <c r="AG3" s="34">
        <f t="shared" ref="AG3:AG34" si="9">SUM(Z3:AF3)+AG2</f>
        <v>8.56</v>
      </c>
      <c r="AH3" s="40">
        <f t="shared" ref="AH3:AH34" si="10">AH2+E3</f>
        <v>2</v>
      </c>
      <c r="AI3" s="40">
        <f t="shared" ref="AI3:AI34" si="11">R3-G3</f>
        <v>13</v>
      </c>
      <c r="AJ3" s="40">
        <f t="shared" ref="AJ3:AJ34" si="12">R3-J3</f>
        <v>12</v>
      </c>
      <c r="AK3" s="40">
        <f t="shared" ref="AK3:AK34" si="13">R3-N3</f>
        <v>12</v>
      </c>
      <c r="AL3" s="40">
        <f t="shared" ref="AL3:AL34" si="14">R3-Q3</f>
        <v>14</v>
      </c>
    </row>
    <row r="4" spans="1:38" s="29" customFormat="1" x14ac:dyDescent="0.25">
      <c r="A4" s="29">
        <v>56</v>
      </c>
      <c r="B4" s="5" t="s">
        <v>82</v>
      </c>
      <c r="C4" s="5" t="s">
        <v>87</v>
      </c>
      <c r="D4" s="5" t="s">
        <v>17</v>
      </c>
      <c r="E4" s="6">
        <v>1.8</v>
      </c>
      <c r="F4" s="5" t="s">
        <v>24</v>
      </c>
      <c r="G4" s="5">
        <f>VLOOKUP(F4,Lookup!$A$8:$B$12,2,0)</f>
        <v>4</v>
      </c>
      <c r="H4" s="5" t="s">
        <v>88</v>
      </c>
      <c r="I4" s="5">
        <v>3</v>
      </c>
      <c r="J4" s="5">
        <f>VLOOKUP(I4,Lookup!$A$15:$B$18,2,0)</f>
        <v>5</v>
      </c>
      <c r="K4" s="5" t="s">
        <v>37</v>
      </c>
      <c r="L4" s="5">
        <f>VLOOKUP(K4,Lookup!$D$21:$E$24,2,0)</f>
        <v>2</v>
      </c>
      <c r="M4" s="6">
        <f t="shared" si="0"/>
        <v>3.6</v>
      </c>
      <c r="N4" s="5">
        <f>VLOOKUP(K4,Lookup!$A$21:$B$24,2,0)</f>
        <v>5</v>
      </c>
      <c r="O4" s="5" t="s">
        <v>85</v>
      </c>
      <c r="P4" s="5" t="s">
        <v>43</v>
      </c>
      <c r="Q4" s="5">
        <f>VLOOKUP(P4,Lookup!$A$27:$B$31,2,0)</f>
        <v>3</v>
      </c>
      <c r="R4" s="6">
        <f t="shared" si="1"/>
        <v>17</v>
      </c>
      <c r="S4" s="6">
        <f>0.1*(360*0.2+549*0.2)</f>
        <v>18.180000000000003</v>
      </c>
      <c r="T4" s="6">
        <v>156</v>
      </c>
      <c r="U4" s="6">
        <f t="shared" si="2"/>
        <v>174.18</v>
      </c>
      <c r="V4" s="6">
        <f t="shared" si="3"/>
        <v>87.09</v>
      </c>
      <c r="W4" s="6">
        <v>5</v>
      </c>
      <c r="X4" s="18" t="s">
        <v>86</v>
      </c>
      <c r="Y4" s="5"/>
      <c r="Z4" s="33">
        <f>M4/2</f>
        <v>1.8</v>
      </c>
      <c r="AA4" s="33">
        <v>0</v>
      </c>
      <c r="AB4" s="33">
        <f t="shared" si="4"/>
        <v>0.54</v>
      </c>
      <c r="AC4" s="33">
        <f t="shared" si="5"/>
        <v>0</v>
      </c>
      <c r="AD4" s="33">
        <f t="shared" si="6"/>
        <v>0.54</v>
      </c>
      <c r="AE4" s="33">
        <f t="shared" si="7"/>
        <v>0</v>
      </c>
      <c r="AF4" s="33">
        <f t="shared" si="8"/>
        <v>0.2016</v>
      </c>
      <c r="AG4" s="34">
        <f t="shared" si="9"/>
        <v>11.6416</v>
      </c>
      <c r="AH4" s="40">
        <f t="shared" si="10"/>
        <v>3.8</v>
      </c>
      <c r="AI4" s="40">
        <f t="shared" si="11"/>
        <v>13</v>
      </c>
      <c r="AJ4" s="40">
        <f t="shared" si="12"/>
        <v>12</v>
      </c>
      <c r="AK4" s="40">
        <f t="shared" si="13"/>
        <v>12</v>
      </c>
      <c r="AL4" s="40">
        <f t="shared" si="14"/>
        <v>14</v>
      </c>
    </row>
    <row r="5" spans="1:38" x14ac:dyDescent="0.25">
      <c r="A5" s="5">
        <v>57</v>
      </c>
      <c r="B5" s="5" t="s">
        <v>82</v>
      </c>
      <c r="C5" s="5" t="s">
        <v>89</v>
      </c>
      <c r="D5" s="5" t="s">
        <v>17</v>
      </c>
      <c r="E5" s="6">
        <v>2.2999999999999998</v>
      </c>
      <c r="F5" s="5" t="s">
        <v>26</v>
      </c>
      <c r="G5" s="5">
        <f>VLOOKUP(F5,Lookup!$A$8:$B$12,2,0)</f>
        <v>1</v>
      </c>
      <c r="H5" s="5" t="s">
        <v>90</v>
      </c>
      <c r="I5" s="5">
        <v>3</v>
      </c>
      <c r="J5" s="5">
        <f>VLOOKUP(I5,Lookup!$A$15:$B$18,2,0)</f>
        <v>5</v>
      </c>
      <c r="K5" s="5" t="s">
        <v>35</v>
      </c>
      <c r="L5" s="5">
        <f>VLOOKUP(K5,Lookup!$D$21:$E$24,2,0)</f>
        <v>5</v>
      </c>
      <c r="M5" s="6">
        <f t="shared" si="0"/>
        <v>11.5</v>
      </c>
      <c r="N5" s="5">
        <f>VLOOKUP(K5,Lookup!$A$21:$B$24,2,0)</f>
        <v>3</v>
      </c>
      <c r="O5" s="5" t="s">
        <v>91</v>
      </c>
      <c r="P5" s="5" t="s">
        <v>43</v>
      </c>
      <c r="Q5" s="5">
        <f>VLOOKUP(P5,Lookup!$A$27:$B$31,2,0)</f>
        <v>3</v>
      </c>
      <c r="R5" s="6">
        <f t="shared" si="1"/>
        <v>12</v>
      </c>
      <c r="S5" s="6">
        <f>360*0.2+549*0.2</f>
        <v>181.8</v>
      </c>
      <c r="T5" s="6">
        <v>293</v>
      </c>
      <c r="U5" s="6">
        <f t="shared" si="2"/>
        <v>474.8</v>
      </c>
      <c r="V5" s="6">
        <f t="shared" si="3"/>
        <v>94.96</v>
      </c>
      <c r="W5" s="6">
        <v>5</v>
      </c>
      <c r="X5" s="18" t="s">
        <v>92</v>
      </c>
      <c r="Z5" s="33">
        <f>M5/2</f>
        <v>5.75</v>
      </c>
      <c r="AA5" s="33">
        <v>0</v>
      </c>
      <c r="AB5" s="33">
        <f t="shared" si="4"/>
        <v>1.7249999999999999</v>
      </c>
      <c r="AC5" s="33">
        <f t="shared" si="5"/>
        <v>0</v>
      </c>
      <c r="AD5" s="33">
        <f t="shared" si="6"/>
        <v>1.7249999999999999</v>
      </c>
      <c r="AE5" s="33">
        <f t="shared" si="7"/>
        <v>0</v>
      </c>
      <c r="AF5" s="33">
        <f t="shared" si="8"/>
        <v>0.64400000000000002</v>
      </c>
      <c r="AG5" s="34">
        <f t="shared" si="9"/>
        <v>21.485599999999998</v>
      </c>
      <c r="AH5" s="40">
        <f t="shared" si="10"/>
        <v>6.1</v>
      </c>
      <c r="AI5" s="40">
        <f t="shared" si="11"/>
        <v>11</v>
      </c>
      <c r="AJ5" s="40">
        <f t="shared" si="12"/>
        <v>7</v>
      </c>
      <c r="AK5" s="40">
        <f t="shared" si="13"/>
        <v>9</v>
      </c>
      <c r="AL5" s="40">
        <f t="shared" si="14"/>
        <v>9</v>
      </c>
    </row>
    <row r="6" spans="1:38" x14ac:dyDescent="0.25">
      <c r="A6" s="5">
        <v>135</v>
      </c>
      <c r="B6" s="5" t="s">
        <v>93</v>
      </c>
      <c r="C6" s="5" t="s">
        <v>94</v>
      </c>
      <c r="D6" s="5" t="s">
        <v>15</v>
      </c>
      <c r="E6" s="6">
        <v>2.8</v>
      </c>
      <c r="F6" s="5" t="s">
        <v>24</v>
      </c>
      <c r="G6" s="5">
        <f>VLOOKUP(F6,Lookup!$A$8:$B$12,2,0)</f>
        <v>4</v>
      </c>
      <c r="H6" s="5" t="s">
        <v>95</v>
      </c>
      <c r="I6" s="5">
        <v>2</v>
      </c>
      <c r="J6" s="5">
        <f>VLOOKUP(I6,Lookup!$A$15:$B$18,2,0)</f>
        <v>3</v>
      </c>
      <c r="K6" s="5" t="s">
        <v>35</v>
      </c>
      <c r="L6" s="5">
        <v>4</v>
      </c>
      <c r="M6" s="6">
        <f t="shared" si="0"/>
        <v>11.2</v>
      </c>
      <c r="N6" s="5">
        <f>VLOOKUP(K6,Lookup!$A$21:$B$24,2,0)</f>
        <v>3</v>
      </c>
      <c r="O6" s="5" t="s">
        <v>96</v>
      </c>
      <c r="P6" s="5" t="s">
        <v>43</v>
      </c>
      <c r="Q6" s="5">
        <f>VLOOKUP(P6,Lookup!$A$27:$B$31,2,0)</f>
        <v>3</v>
      </c>
      <c r="R6" s="6">
        <f t="shared" si="1"/>
        <v>13</v>
      </c>
      <c r="S6" s="6">
        <f>1158*0.08</f>
        <v>92.64</v>
      </c>
      <c r="T6" s="6">
        <v>377</v>
      </c>
      <c r="U6" s="6">
        <f t="shared" si="2"/>
        <v>469.64</v>
      </c>
      <c r="V6" s="6">
        <f t="shared" si="3"/>
        <v>117.41000000000001</v>
      </c>
      <c r="W6" s="6">
        <v>5</v>
      </c>
      <c r="X6" s="18" t="s">
        <v>86</v>
      </c>
      <c r="Y6" s="5" t="s">
        <v>97</v>
      </c>
      <c r="Z6" s="33">
        <f t="shared" ref="Z6:Z23" si="15">M6</f>
        <v>11.2</v>
      </c>
      <c r="AA6" s="33">
        <v>18.5</v>
      </c>
      <c r="AB6" s="33">
        <f t="shared" si="4"/>
        <v>3.36</v>
      </c>
      <c r="AC6" s="33">
        <f t="shared" si="5"/>
        <v>5.55</v>
      </c>
      <c r="AD6" s="33">
        <f t="shared" si="6"/>
        <v>3.36</v>
      </c>
      <c r="AE6" s="33">
        <f t="shared" si="7"/>
        <v>5.55</v>
      </c>
      <c r="AF6" s="33">
        <f t="shared" si="8"/>
        <v>3.3264</v>
      </c>
      <c r="AG6" s="34">
        <f t="shared" si="9"/>
        <v>72.331999999999994</v>
      </c>
      <c r="AH6" s="40">
        <f t="shared" si="10"/>
        <v>8.8999999999999986</v>
      </c>
      <c r="AI6" s="40">
        <f t="shared" si="11"/>
        <v>9</v>
      </c>
      <c r="AJ6" s="40">
        <f t="shared" si="12"/>
        <v>10</v>
      </c>
      <c r="AK6" s="40">
        <f t="shared" si="13"/>
        <v>10</v>
      </c>
      <c r="AL6" s="40">
        <f t="shared" si="14"/>
        <v>10</v>
      </c>
    </row>
    <row r="7" spans="1:38" x14ac:dyDescent="0.25">
      <c r="A7" s="29">
        <v>137</v>
      </c>
      <c r="B7" s="5" t="s">
        <v>93</v>
      </c>
      <c r="C7" s="5" t="s">
        <v>98</v>
      </c>
      <c r="D7" s="5" t="s">
        <v>15</v>
      </c>
      <c r="E7" s="6">
        <v>1.5</v>
      </c>
      <c r="F7" s="5" t="s">
        <v>20</v>
      </c>
      <c r="G7" s="5">
        <f>VLOOKUP(F7,Lookup!$A$8:$B$12,2,0)</f>
        <v>5</v>
      </c>
      <c r="H7" s="5" t="s">
        <v>99</v>
      </c>
      <c r="I7" s="5">
        <v>2</v>
      </c>
      <c r="J7" s="5">
        <f>VLOOKUP(I7,Lookup!$A$15:$B$18,2,0)</f>
        <v>3</v>
      </c>
      <c r="K7" s="5" t="s">
        <v>37</v>
      </c>
      <c r="L7" s="5">
        <v>2</v>
      </c>
      <c r="M7" s="6">
        <f t="shared" si="0"/>
        <v>3</v>
      </c>
      <c r="N7" s="5">
        <f>VLOOKUP(K7,Lookup!$A$21:$B$24,2,0)</f>
        <v>5</v>
      </c>
      <c r="O7" s="5" t="s">
        <v>100</v>
      </c>
      <c r="P7" s="5" t="s">
        <v>43</v>
      </c>
      <c r="Q7" s="5">
        <f>VLOOKUP(P7,Lookup!$A$27:$B$31,2,0)</f>
        <v>3</v>
      </c>
      <c r="R7" s="6">
        <f t="shared" si="1"/>
        <v>16</v>
      </c>
      <c r="S7" s="6">
        <f>1158*0.08</f>
        <v>92.64</v>
      </c>
      <c r="T7" s="6">
        <v>185</v>
      </c>
      <c r="U7" s="6">
        <f t="shared" si="2"/>
        <v>277.64</v>
      </c>
      <c r="V7" s="6">
        <f t="shared" si="3"/>
        <v>138.82</v>
      </c>
      <c r="W7" s="6">
        <v>5</v>
      </c>
      <c r="X7" s="18" t="s">
        <v>86</v>
      </c>
      <c r="Y7" s="5" t="s">
        <v>97</v>
      </c>
      <c r="Z7" s="33">
        <f t="shared" si="15"/>
        <v>3</v>
      </c>
      <c r="AA7" s="33">
        <v>0</v>
      </c>
      <c r="AB7" s="33">
        <f t="shared" si="4"/>
        <v>0.89999999999999991</v>
      </c>
      <c r="AC7" s="33">
        <f t="shared" si="5"/>
        <v>0</v>
      </c>
      <c r="AD7" s="33">
        <f t="shared" si="6"/>
        <v>0.89999999999999991</v>
      </c>
      <c r="AE7" s="33">
        <f t="shared" si="7"/>
        <v>0</v>
      </c>
      <c r="AF7" s="33">
        <f t="shared" si="8"/>
        <v>0.33600000000000002</v>
      </c>
      <c r="AG7" s="34">
        <f t="shared" si="9"/>
        <v>77.467999999999989</v>
      </c>
      <c r="AH7" s="40">
        <f t="shared" si="10"/>
        <v>10.399999999999999</v>
      </c>
      <c r="AI7" s="40">
        <f t="shared" si="11"/>
        <v>11</v>
      </c>
      <c r="AJ7" s="40">
        <f t="shared" si="12"/>
        <v>13</v>
      </c>
      <c r="AK7" s="40">
        <f t="shared" si="13"/>
        <v>11</v>
      </c>
      <c r="AL7" s="40">
        <f t="shared" si="14"/>
        <v>13</v>
      </c>
    </row>
    <row r="8" spans="1:38" x14ac:dyDescent="0.25">
      <c r="A8" s="29">
        <v>148</v>
      </c>
      <c r="B8" s="5" t="s">
        <v>101</v>
      </c>
      <c r="C8" s="5" t="s">
        <v>102</v>
      </c>
      <c r="D8" s="5" t="s">
        <v>17</v>
      </c>
      <c r="E8" s="6">
        <v>1</v>
      </c>
      <c r="F8" s="5" t="s">
        <v>22</v>
      </c>
      <c r="G8" s="5">
        <f>VLOOKUP(F8,Lookup!$A$8:$B$12,2,0)</f>
        <v>3</v>
      </c>
      <c r="H8" s="5" t="s">
        <v>103</v>
      </c>
      <c r="I8" s="5">
        <v>2</v>
      </c>
      <c r="J8" s="5">
        <f>VLOOKUP(I8,Lookup!$A$15:$B$18,2,0)</f>
        <v>3</v>
      </c>
      <c r="K8" s="5" t="s">
        <v>37</v>
      </c>
      <c r="L8" s="5">
        <v>2</v>
      </c>
      <c r="M8" s="6">
        <f t="shared" si="0"/>
        <v>2</v>
      </c>
      <c r="N8" s="5">
        <f>VLOOKUP(K8,Lookup!$A$21:$B$24,2,0)</f>
        <v>5</v>
      </c>
      <c r="O8" s="5" t="s">
        <v>104</v>
      </c>
      <c r="P8" s="5" t="s">
        <v>43</v>
      </c>
      <c r="Q8" s="5">
        <f>VLOOKUP(P8,Lookup!$A$27:$B$31,2,0)</f>
        <v>3</v>
      </c>
      <c r="R8" s="6">
        <f t="shared" si="1"/>
        <v>14</v>
      </c>
      <c r="S8" s="6">
        <f>942*0.1+760*0.1</f>
        <v>170.2</v>
      </c>
      <c r="T8" s="6">
        <v>256</v>
      </c>
      <c r="U8" s="6">
        <f t="shared" si="2"/>
        <v>426.2</v>
      </c>
      <c r="V8" s="6">
        <f t="shared" si="3"/>
        <v>213.1</v>
      </c>
      <c r="W8" s="6">
        <v>5</v>
      </c>
      <c r="X8" s="18" t="s">
        <v>105</v>
      </c>
      <c r="Z8" s="33">
        <f t="shared" si="15"/>
        <v>2</v>
      </c>
      <c r="AA8" s="33">
        <v>0</v>
      </c>
      <c r="AB8" s="33">
        <f t="shared" si="4"/>
        <v>0.6</v>
      </c>
      <c r="AC8" s="33">
        <f t="shared" si="5"/>
        <v>0</v>
      </c>
      <c r="AD8" s="33">
        <f t="shared" si="6"/>
        <v>0.6</v>
      </c>
      <c r="AE8" s="33">
        <f t="shared" si="7"/>
        <v>0</v>
      </c>
      <c r="AF8" s="33">
        <f t="shared" si="8"/>
        <v>0.22400000000000003</v>
      </c>
      <c r="AG8" s="34">
        <f t="shared" si="9"/>
        <v>80.891999999999996</v>
      </c>
      <c r="AH8" s="40">
        <f t="shared" si="10"/>
        <v>11.399999999999999</v>
      </c>
      <c r="AI8" s="40">
        <f t="shared" si="11"/>
        <v>11</v>
      </c>
      <c r="AJ8" s="40">
        <f t="shared" si="12"/>
        <v>11</v>
      </c>
      <c r="AK8" s="40">
        <f t="shared" si="13"/>
        <v>9</v>
      </c>
      <c r="AL8" s="40">
        <f t="shared" si="14"/>
        <v>11</v>
      </c>
    </row>
    <row r="9" spans="1:38" x14ac:dyDescent="0.25">
      <c r="A9" s="29">
        <v>154</v>
      </c>
      <c r="B9" s="5" t="s">
        <v>101</v>
      </c>
      <c r="C9" s="5" t="s">
        <v>106</v>
      </c>
      <c r="D9" s="5" t="s">
        <v>17</v>
      </c>
      <c r="E9" s="6">
        <v>1.6</v>
      </c>
      <c r="F9" s="5" t="s">
        <v>24</v>
      </c>
      <c r="G9" s="5">
        <f>VLOOKUP(F9,Lookup!$A$8:$B$12,2,0)</f>
        <v>4</v>
      </c>
      <c r="H9" s="5" t="s">
        <v>107</v>
      </c>
      <c r="I9" s="5">
        <v>3</v>
      </c>
      <c r="J9" s="5">
        <f>VLOOKUP(I9,Lookup!$A$15:$B$18,2,0)</f>
        <v>5</v>
      </c>
      <c r="K9" s="5" t="s">
        <v>35</v>
      </c>
      <c r="L9" s="5">
        <f>VLOOKUP(K9,Lookup!$D$21:$E$24,2,0)</f>
        <v>5</v>
      </c>
      <c r="M9" s="6">
        <f t="shared" si="0"/>
        <v>8</v>
      </c>
      <c r="N9" s="5">
        <f>VLOOKUP(K9,Lookup!$A$21:$B$24,2,0)</f>
        <v>3</v>
      </c>
      <c r="O9" s="5" t="s">
        <v>108</v>
      </c>
      <c r="P9" s="5" t="s">
        <v>44</v>
      </c>
      <c r="Q9" s="5">
        <f>VLOOKUP(P9,Lookup!$A$27:$B$31,2,0)</f>
        <v>2</v>
      </c>
      <c r="R9" s="6">
        <f t="shared" si="1"/>
        <v>14</v>
      </c>
      <c r="S9" s="6">
        <f>346*0.1</f>
        <v>34.6</v>
      </c>
      <c r="T9" s="6">
        <v>549</v>
      </c>
      <c r="U9" s="6">
        <f t="shared" si="2"/>
        <v>583.6</v>
      </c>
      <c r="V9" s="6">
        <f t="shared" si="3"/>
        <v>116.72000000000001</v>
      </c>
      <c r="W9" s="6">
        <v>5</v>
      </c>
      <c r="X9" s="18" t="s">
        <v>86</v>
      </c>
      <c r="Z9" s="33">
        <f t="shared" si="15"/>
        <v>8</v>
      </c>
      <c r="AA9" s="33">
        <v>22.5</v>
      </c>
      <c r="AB9" s="33">
        <f t="shared" si="4"/>
        <v>2.4</v>
      </c>
      <c r="AC9" s="33">
        <f t="shared" si="5"/>
        <v>6.75</v>
      </c>
      <c r="AD9" s="33">
        <f t="shared" si="6"/>
        <v>2.4</v>
      </c>
      <c r="AE9" s="33">
        <f t="shared" si="7"/>
        <v>6.75</v>
      </c>
      <c r="AF9" s="33">
        <f t="shared" si="8"/>
        <v>3.4159999999999999</v>
      </c>
      <c r="AG9" s="34">
        <f t="shared" si="9"/>
        <v>133.108</v>
      </c>
      <c r="AH9" s="40">
        <f t="shared" si="10"/>
        <v>12.999999999999998</v>
      </c>
      <c r="AI9" s="40">
        <f t="shared" si="11"/>
        <v>10</v>
      </c>
      <c r="AJ9" s="40">
        <f t="shared" si="12"/>
        <v>9</v>
      </c>
      <c r="AK9" s="40">
        <f t="shared" si="13"/>
        <v>11</v>
      </c>
      <c r="AL9" s="40">
        <f t="shared" si="14"/>
        <v>12</v>
      </c>
    </row>
    <row r="10" spans="1:38" x14ac:dyDescent="0.25">
      <c r="A10" s="29">
        <v>116</v>
      </c>
      <c r="B10" s="5" t="s">
        <v>109</v>
      </c>
      <c r="C10" s="5" t="s">
        <v>110</v>
      </c>
      <c r="D10" s="5" t="s">
        <v>15</v>
      </c>
      <c r="E10" s="6">
        <v>1.3</v>
      </c>
      <c r="F10" s="5" t="s">
        <v>20</v>
      </c>
      <c r="G10" s="5">
        <f>VLOOKUP(F10,Lookup!$A$8:$B$12,2,0)</f>
        <v>5</v>
      </c>
      <c r="H10" s="5" t="s">
        <v>99</v>
      </c>
      <c r="I10" s="5">
        <v>3</v>
      </c>
      <c r="J10" s="5">
        <f>VLOOKUP(I10,Lookup!$A$15:$B$18,2,0)</f>
        <v>5</v>
      </c>
      <c r="K10" s="5" t="s">
        <v>35</v>
      </c>
      <c r="L10" s="5">
        <f>VLOOKUP(K10,Lookup!$D$21:$E$24,2,0)</f>
        <v>5</v>
      </c>
      <c r="M10" s="6">
        <f t="shared" si="0"/>
        <v>6.5</v>
      </c>
      <c r="N10" s="5">
        <f>VLOOKUP(K10,Lookup!$A$21:$B$24,2,0)</f>
        <v>3</v>
      </c>
      <c r="O10" s="5" t="s">
        <v>111</v>
      </c>
      <c r="P10" s="5" t="s">
        <v>43</v>
      </c>
      <c r="Q10" s="5">
        <f>VLOOKUP(P10,Lookup!$A$27:$B$31,2,0)</f>
        <v>3</v>
      </c>
      <c r="R10" s="6">
        <f t="shared" si="1"/>
        <v>16</v>
      </c>
      <c r="S10" s="6">
        <f>396*0.1</f>
        <v>39.6</v>
      </c>
      <c r="T10" s="6">
        <v>112</v>
      </c>
      <c r="U10" s="6">
        <f t="shared" si="2"/>
        <v>151.6</v>
      </c>
      <c r="V10" s="6">
        <f t="shared" si="3"/>
        <v>30.32</v>
      </c>
      <c r="W10" s="6">
        <v>10</v>
      </c>
      <c r="X10" s="18" t="s">
        <v>112</v>
      </c>
      <c r="Y10" s="5" t="s">
        <v>113</v>
      </c>
      <c r="Z10" s="33">
        <f t="shared" si="15"/>
        <v>6.5</v>
      </c>
      <c r="AA10" s="33">
        <v>0</v>
      </c>
      <c r="AB10" s="33">
        <f t="shared" si="4"/>
        <v>1.95</v>
      </c>
      <c r="AC10" s="33">
        <f t="shared" si="5"/>
        <v>0</v>
      </c>
      <c r="AD10" s="33">
        <f t="shared" si="6"/>
        <v>1.95</v>
      </c>
      <c r="AE10" s="33">
        <f t="shared" si="7"/>
        <v>0</v>
      </c>
      <c r="AF10" s="33">
        <f t="shared" si="8"/>
        <v>0.72799999999999998</v>
      </c>
      <c r="AG10" s="34">
        <f t="shared" si="9"/>
        <v>144.23599999999999</v>
      </c>
      <c r="AH10" s="40">
        <f t="shared" si="10"/>
        <v>14.299999999999999</v>
      </c>
      <c r="AI10" s="40">
        <f t="shared" si="11"/>
        <v>11</v>
      </c>
      <c r="AJ10" s="40">
        <f t="shared" si="12"/>
        <v>11</v>
      </c>
      <c r="AK10" s="40">
        <f t="shared" si="13"/>
        <v>13</v>
      </c>
      <c r="AL10" s="40">
        <f t="shared" si="14"/>
        <v>13</v>
      </c>
    </row>
    <row r="11" spans="1:38" x14ac:dyDescent="0.25">
      <c r="A11" s="5">
        <v>117</v>
      </c>
      <c r="B11" s="5" t="s">
        <v>109</v>
      </c>
      <c r="C11" s="5" t="s">
        <v>114</v>
      </c>
      <c r="D11" s="5" t="s">
        <v>17</v>
      </c>
      <c r="E11" s="6">
        <v>1</v>
      </c>
      <c r="F11" s="5" t="s">
        <v>20</v>
      </c>
      <c r="G11" s="5">
        <f>VLOOKUP(F11,Lookup!$A$8:$B$12,2,0)</f>
        <v>5</v>
      </c>
      <c r="H11" s="5" t="s">
        <v>115</v>
      </c>
      <c r="I11" s="5">
        <v>3</v>
      </c>
      <c r="J11" s="5">
        <f>VLOOKUP(I11,Lookup!$A$15:$B$18,2,0)</f>
        <v>5</v>
      </c>
      <c r="K11" s="5" t="s">
        <v>37</v>
      </c>
      <c r="L11" s="5">
        <v>2</v>
      </c>
      <c r="M11" s="6">
        <f t="shared" si="0"/>
        <v>2</v>
      </c>
      <c r="N11" s="5">
        <f>VLOOKUP(K11,Lookup!$A$21:$B$24,2,0)</f>
        <v>5</v>
      </c>
      <c r="O11" s="5" t="s">
        <v>116</v>
      </c>
      <c r="P11" s="5" t="s">
        <v>44</v>
      </c>
      <c r="Q11" s="5">
        <f>VLOOKUP(P11,Lookup!$A$27:$B$31,2,0)</f>
        <v>2</v>
      </c>
      <c r="R11" s="6">
        <f t="shared" si="1"/>
        <v>17</v>
      </c>
      <c r="S11" s="6">
        <f>396*0.1</f>
        <v>39.6</v>
      </c>
      <c r="T11" s="6">
        <v>30</v>
      </c>
      <c r="U11" s="6">
        <f t="shared" si="2"/>
        <v>69.599999999999994</v>
      </c>
      <c r="V11" s="6">
        <f t="shared" si="3"/>
        <v>34.799999999999997</v>
      </c>
      <c r="W11" s="6">
        <v>10</v>
      </c>
      <c r="X11" s="18" t="s">
        <v>117</v>
      </c>
      <c r="Z11" s="33">
        <f t="shared" si="15"/>
        <v>2</v>
      </c>
      <c r="AA11" s="33">
        <v>0</v>
      </c>
      <c r="AB11" s="33">
        <f t="shared" si="4"/>
        <v>0.6</v>
      </c>
      <c r="AC11" s="33">
        <f t="shared" si="5"/>
        <v>0</v>
      </c>
      <c r="AD11" s="33">
        <f t="shared" si="6"/>
        <v>0.6</v>
      </c>
      <c r="AE11" s="33">
        <f t="shared" si="7"/>
        <v>0</v>
      </c>
      <c r="AF11" s="33">
        <f t="shared" si="8"/>
        <v>0.22400000000000003</v>
      </c>
      <c r="AG11" s="34">
        <f t="shared" si="9"/>
        <v>147.66</v>
      </c>
      <c r="AH11" s="40">
        <f t="shared" si="10"/>
        <v>15.299999999999999</v>
      </c>
      <c r="AI11" s="40">
        <f t="shared" si="11"/>
        <v>12</v>
      </c>
      <c r="AJ11" s="40">
        <f t="shared" si="12"/>
        <v>12</v>
      </c>
      <c r="AK11" s="40">
        <f t="shared" si="13"/>
        <v>12</v>
      </c>
      <c r="AL11" s="40">
        <f t="shared" si="14"/>
        <v>15</v>
      </c>
    </row>
    <row r="12" spans="1:38" x14ac:dyDescent="0.25">
      <c r="A12" s="5">
        <v>153</v>
      </c>
      <c r="B12" s="5" t="s">
        <v>118</v>
      </c>
      <c r="C12" s="5" t="s">
        <v>119</v>
      </c>
      <c r="D12" s="5" t="s">
        <v>17</v>
      </c>
      <c r="E12" s="6">
        <v>3.8</v>
      </c>
      <c r="F12" s="5" t="s">
        <v>24</v>
      </c>
      <c r="G12" s="5">
        <f>VLOOKUP(F12,Lookup!$A$8:$B$12,2,0)</f>
        <v>4</v>
      </c>
      <c r="H12" s="5" t="s">
        <v>107</v>
      </c>
      <c r="I12" s="5">
        <v>3</v>
      </c>
      <c r="J12" s="5">
        <f>VLOOKUP(I12,Lookup!$A$15:$B$18,2,0)</f>
        <v>5</v>
      </c>
      <c r="K12" s="5" t="s">
        <v>37</v>
      </c>
      <c r="L12" s="5">
        <v>2</v>
      </c>
      <c r="M12" s="6">
        <f t="shared" si="0"/>
        <v>7.6</v>
      </c>
      <c r="N12" s="5">
        <f>VLOOKUP(K12,Lookup!$A$21:$B$24,2,0)</f>
        <v>5</v>
      </c>
      <c r="O12" s="5" t="s">
        <v>108</v>
      </c>
      <c r="P12" s="5" t="s">
        <v>44</v>
      </c>
      <c r="Q12" s="5">
        <f>VLOOKUP(P12,Lookup!$A$27:$B$31,2,0)</f>
        <v>2</v>
      </c>
      <c r="R12" s="6">
        <f t="shared" si="1"/>
        <v>16</v>
      </c>
      <c r="S12" s="6">
        <f>1262*0.1+394*0.1</f>
        <v>165.60000000000002</v>
      </c>
      <c r="T12" s="6">
        <v>570</v>
      </c>
      <c r="U12" s="6">
        <f t="shared" si="2"/>
        <v>735.6</v>
      </c>
      <c r="V12" s="6">
        <f t="shared" si="3"/>
        <v>367.8</v>
      </c>
      <c r="W12" s="6">
        <v>10</v>
      </c>
      <c r="X12" s="18" t="s">
        <v>120</v>
      </c>
      <c r="Z12" s="33">
        <f t="shared" si="15"/>
        <v>7.6</v>
      </c>
      <c r="AA12" s="33">
        <v>0</v>
      </c>
      <c r="AB12" s="33">
        <f t="shared" si="4"/>
        <v>2.2799999999999998</v>
      </c>
      <c r="AC12" s="33">
        <f t="shared" si="5"/>
        <v>0</v>
      </c>
      <c r="AD12" s="33">
        <f t="shared" si="6"/>
        <v>2.2799999999999998</v>
      </c>
      <c r="AE12" s="33">
        <f t="shared" si="7"/>
        <v>0</v>
      </c>
      <c r="AF12" s="33">
        <f t="shared" si="8"/>
        <v>0.85119999999999996</v>
      </c>
      <c r="AG12" s="34">
        <f t="shared" si="9"/>
        <v>160.6712</v>
      </c>
      <c r="AH12" s="40">
        <f t="shared" si="10"/>
        <v>19.099999999999998</v>
      </c>
      <c r="AI12" s="40">
        <f t="shared" si="11"/>
        <v>12</v>
      </c>
      <c r="AJ12" s="40">
        <f t="shared" si="12"/>
        <v>11</v>
      </c>
      <c r="AK12" s="40">
        <f t="shared" si="13"/>
        <v>11</v>
      </c>
      <c r="AL12" s="40">
        <f t="shared" si="14"/>
        <v>14</v>
      </c>
    </row>
    <row r="13" spans="1:38" x14ac:dyDescent="0.25">
      <c r="A13" s="29">
        <v>158</v>
      </c>
      <c r="B13" s="5" t="s">
        <v>118</v>
      </c>
      <c r="C13" s="5" t="s">
        <v>121</v>
      </c>
      <c r="D13" s="5" t="s">
        <v>17</v>
      </c>
      <c r="E13" s="6">
        <v>3.6</v>
      </c>
      <c r="F13" s="5" t="s">
        <v>24</v>
      </c>
      <c r="G13" s="5">
        <f>VLOOKUP(F13,Lookup!$A$8:$B$12,2,0)</f>
        <v>4</v>
      </c>
      <c r="H13" s="5" t="s">
        <v>122</v>
      </c>
      <c r="I13" s="5">
        <v>2</v>
      </c>
      <c r="J13" s="5">
        <f>VLOOKUP(I13,Lookup!$A$15:$B$18,2,0)</f>
        <v>3</v>
      </c>
      <c r="K13" s="5" t="s">
        <v>37</v>
      </c>
      <c r="L13" s="5">
        <v>2</v>
      </c>
      <c r="M13" s="6">
        <f t="shared" si="0"/>
        <v>7.2</v>
      </c>
      <c r="N13" s="5">
        <f>VLOOKUP(K13,Lookup!$A$21:$B$24,2,0)</f>
        <v>5</v>
      </c>
      <c r="O13" s="5" t="s">
        <v>123</v>
      </c>
      <c r="P13" s="5" t="s">
        <v>43</v>
      </c>
      <c r="Q13" s="5">
        <f>VLOOKUP(P13,Lookup!$A$27:$B$31,2,0)</f>
        <v>3</v>
      </c>
      <c r="R13" s="6">
        <f t="shared" si="1"/>
        <v>15</v>
      </c>
      <c r="S13" s="6">
        <f>1262*0.1+394*0.1</f>
        <v>165.60000000000002</v>
      </c>
      <c r="T13" s="6">
        <v>284</v>
      </c>
      <c r="U13" s="6">
        <f t="shared" si="2"/>
        <v>449.6</v>
      </c>
      <c r="V13" s="6">
        <f t="shared" si="3"/>
        <v>224.8</v>
      </c>
      <c r="W13" s="6">
        <v>10</v>
      </c>
      <c r="X13" s="18" t="s">
        <v>120</v>
      </c>
      <c r="Z13" s="33">
        <f t="shared" si="15"/>
        <v>7.2</v>
      </c>
      <c r="AA13" s="33">
        <v>0</v>
      </c>
      <c r="AB13" s="33">
        <f t="shared" si="4"/>
        <v>2.16</v>
      </c>
      <c r="AC13" s="33">
        <f t="shared" si="5"/>
        <v>0</v>
      </c>
      <c r="AD13" s="33">
        <f t="shared" si="6"/>
        <v>2.16</v>
      </c>
      <c r="AE13" s="33">
        <f t="shared" si="7"/>
        <v>0</v>
      </c>
      <c r="AF13" s="33">
        <f t="shared" si="8"/>
        <v>0.80640000000000001</v>
      </c>
      <c r="AG13" s="34">
        <f t="shared" si="9"/>
        <v>172.99760000000001</v>
      </c>
      <c r="AH13" s="40">
        <f t="shared" si="10"/>
        <v>22.7</v>
      </c>
      <c r="AI13" s="40">
        <f t="shared" si="11"/>
        <v>11</v>
      </c>
      <c r="AJ13" s="40">
        <f t="shared" si="12"/>
        <v>12</v>
      </c>
      <c r="AK13" s="40">
        <f t="shared" si="13"/>
        <v>10</v>
      </c>
      <c r="AL13" s="40">
        <f t="shared" si="14"/>
        <v>12</v>
      </c>
    </row>
    <row r="14" spans="1:38" x14ac:dyDescent="0.25">
      <c r="A14" s="29">
        <v>44</v>
      </c>
      <c r="B14" s="5" t="s">
        <v>124</v>
      </c>
      <c r="C14" s="5" t="s">
        <v>125</v>
      </c>
      <c r="D14" s="5" t="s">
        <v>17</v>
      </c>
      <c r="E14" s="6">
        <v>5</v>
      </c>
      <c r="F14" s="5" t="s">
        <v>20</v>
      </c>
      <c r="G14" s="5">
        <f>VLOOKUP(F14,Lookup!$A$8:$B$12,2,0)</f>
        <v>5</v>
      </c>
      <c r="H14" s="5" t="s">
        <v>126</v>
      </c>
      <c r="I14" s="5">
        <v>3</v>
      </c>
      <c r="J14" s="5">
        <f>VLOOKUP(I14,Lookup!$A$15:$B$18,2,0)</f>
        <v>5</v>
      </c>
      <c r="K14" s="5" t="s">
        <v>37</v>
      </c>
      <c r="L14" s="5">
        <f>VLOOKUP(K14,Lookup!$D$21:$E$24,2,0)</f>
        <v>2</v>
      </c>
      <c r="M14" s="6">
        <f t="shared" si="0"/>
        <v>10</v>
      </c>
      <c r="N14" s="5">
        <f>VLOOKUP(K14,Lookup!$A$21:$B$24,2,0)</f>
        <v>5</v>
      </c>
      <c r="O14" s="5" t="s">
        <v>127</v>
      </c>
      <c r="P14" s="5" t="s">
        <v>43</v>
      </c>
      <c r="Q14" s="5">
        <f>VLOOKUP(P14,Lookup!$A$27:$B$31,2,0)</f>
        <v>3</v>
      </c>
      <c r="R14" s="6">
        <f t="shared" si="1"/>
        <v>18</v>
      </c>
      <c r="T14" s="6">
        <v>395</v>
      </c>
      <c r="U14" s="6">
        <f t="shared" si="2"/>
        <v>395</v>
      </c>
      <c r="V14" s="6">
        <f t="shared" si="3"/>
        <v>197.5</v>
      </c>
      <c r="W14" s="6">
        <v>15</v>
      </c>
      <c r="X14" s="18" t="s">
        <v>120</v>
      </c>
      <c r="Y14" s="5" t="s">
        <v>128</v>
      </c>
      <c r="Z14" s="33">
        <f t="shared" si="15"/>
        <v>10</v>
      </c>
      <c r="AA14" s="33">
        <v>0</v>
      </c>
      <c r="AB14" s="33">
        <f t="shared" si="4"/>
        <v>3</v>
      </c>
      <c r="AC14" s="33">
        <f t="shared" si="5"/>
        <v>0</v>
      </c>
      <c r="AD14" s="33">
        <f t="shared" si="6"/>
        <v>3</v>
      </c>
      <c r="AE14" s="33">
        <f t="shared" si="7"/>
        <v>0</v>
      </c>
      <c r="AF14" s="33">
        <f t="shared" si="8"/>
        <v>1.1200000000000001</v>
      </c>
      <c r="AG14" s="34">
        <f t="shared" si="9"/>
        <v>190.11760000000001</v>
      </c>
      <c r="AH14" s="40">
        <f t="shared" si="10"/>
        <v>27.7</v>
      </c>
      <c r="AI14" s="40">
        <f t="shared" si="11"/>
        <v>13</v>
      </c>
      <c r="AJ14" s="40">
        <f t="shared" si="12"/>
        <v>13</v>
      </c>
      <c r="AK14" s="40">
        <f t="shared" si="13"/>
        <v>13</v>
      </c>
      <c r="AL14" s="40">
        <f t="shared" si="14"/>
        <v>15</v>
      </c>
    </row>
    <row r="15" spans="1:38" x14ac:dyDescent="0.25">
      <c r="A15" s="29">
        <v>65</v>
      </c>
      <c r="B15" s="5" t="s">
        <v>129</v>
      </c>
      <c r="C15" s="5" t="s">
        <v>130</v>
      </c>
      <c r="D15" s="5" t="s">
        <v>18</v>
      </c>
      <c r="E15" s="6">
        <v>1.5</v>
      </c>
      <c r="F15" s="5" t="s">
        <v>26</v>
      </c>
      <c r="G15" s="5">
        <f>VLOOKUP(F15,Lookup!$A$8:$B$12,2,0)</f>
        <v>1</v>
      </c>
      <c r="H15" s="5" t="s">
        <v>90</v>
      </c>
      <c r="I15" s="5">
        <v>3</v>
      </c>
      <c r="J15" s="5">
        <f>VLOOKUP(I15,Lookup!$A$15:$B$18,2,0)</f>
        <v>5</v>
      </c>
      <c r="K15" s="5" t="s">
        <v>37</v>
      </c>
      <c r="L15" s="5">
        <f>VLOOKUP(K15,Lookup!$D$21:$E$24,2,0)</f>
        <v>2</v>
      </c>
      <c r="M15" s="6">
        <f t="shared" si="0"/>
        <v>3</v>
      </c>
      <c r="N15" s="5">
        <f>VLOOKUP(K15,Lookup!$A$21:$B$24,2,0)</f>
        <v>5</v>
      </c>
      <c r="O15" s="5" t="s">
        <v>116</v>
      </c>
      <c r="P15" s="5" t="s">
        <v>44</v>
      </c>
      <c r="Q15" s="5">
        <f>VLOOKUP(P15,Lookup!$A$27:$B$31,2,0)</f>
        <v>2</v>
      </c>
      <c r="R15" s="6">
        <f t="shared" si="1"/>
        <v>13</v>
      </c>
      <c r="S15" s="6">
        <f>475/5</f>
        <v>95</v>
      </c>
      <c r="T15" s="6">
        <v>114</v>
      </c>
      <c r="U15" s="6">
        <f t="shared" si="2"/>
        <v>209</v>
      </c>
      <c r="V15" s="6">
        <f t="shared" si="3"/>
        <v>104.5</v>
      </c>
      <c r="W15" s="6">
        <v>15</v>
      </c>
      <c r="X15" s="18" t="s">
        <v>131</v>
      </c>
      <c r="Z15" s="33">
        <f t="shared" si="15"/>
        <v>3</v>
      </c>
      <c r="AA15" s="33">
        <v>17</v>
      </c>
      <c r="AB15" s="33">
        <f t="shared" si="4"/>
        <v>0.89999999999999991</v>
      </c>
      <c r="AC15" s="33">
        <f t="shared" si="5"/>
        <v>5.0999999999999996</v>
      </c>
      <c r="AD15" s="33">
        <f t="shared" si="6"/>
        <v>0.89999999999999991</v>
      </c>
      <c r="AE15" s="33">
        <f t="shared" si="7"/>
        <v>5.0999999999999996</v>
      </c>
      <c r="AF15" s="33">
        <f t="shared" si="8"/>
        <v>2.2400000000000002</v>
      </c>
      <c r="AG15" s="34">
        <f t="shared" si="9"/>
        <v>224.35760000000002</v>
      </c>
      <c r="AH15" s="40">
        <f t="shared" si="10"/>
        <v>29.2</v>
      </c>
      <c r="AI15" s="40">
        <f t="shared" si="11"/>
        <v>12</v>
      </c>
      <c r="AJ15" s="40">
        <f t="shared" si="12"/>
        <v>8</v>
      </c>
      <c r="AK15" s="40">
        <f t="shared" si="13"/>
        <v>8</v>
      </c>
      <c r="AL15" s="40">
        <f t="shared" si="14"/>
        <v>11</v>
      </c>
    </row>
    <row r="16" spans="1:38" x14ac:dyDescent="0.25">
      <c r="A16" s="29">
        <v>68</v>
      </c>
      <c r="B16" s="5" t="s">
        <v>132</v>
      </c>
      <c r="C16" s="5" t="s">
        <v>133</v>
      </c>
      <c r="D16" s="5" t="s">
        <v>17</v>
      </c>
      <c r="E16" s="6">
        <v>2</v>
      </c>
      <c r="F16" s="5" t="s">
        <v>26</v>
      </c>
      <c r="G16" s="5">
        <f>VLOOKUP(F16,Lookup!$A$8:$B$12,2,0)</f>
        <v>1</v>
      </c>
      <c r="H16" s="5" t="s">
        <v>90</v>
      </c>
      <c r="I16" s="5">
        <v>3</v>
      </c>
      <c r="J16" s="5">
        <f>VLOOKUP(I16,Lookup!$A$15:$B$18,2,0)</f>
        <v>5</v>
      </c>
      <c r="K16" s="5" t="s">
        <v>35</v>
      </c>
      <c r="L16" s="5">
        <f>VLOOKUP(K16,Lookup!$D$21:$E$24,2,0)</f>
        <v>5</v>
      </c>
      <c r="M16" s="6">
        <f t="shared" si="0"/>
        <v>10</v>
      </c>
      <c r="N16" s="5">
        <f>VLOOKUP(K16,Lookup!$A$21:$B$24,2,0)</f>
        <v>3</v>
      </c>
      <c r="O16" s="5" t="s">
        <v>134</v>
      </c>
      <c r="P16" s="5" t="s">
        <v>43</v>
      </c>
      <c r="Q16" s="5">
        <f>VLOOKUP(P16,Lookup!$A$27:$B$31,2,0)</f>
        <v>3</v>
      </c>
      <c r="R16" s="6">
        <f t="shared" si="1"/>
        <v>12</v>
      </c>
      <c r="S16" s="6">
        <f>475/5</f>
        <v>95</v>
      </c>
      <c r="T16" s="6">
        <v>354</v>
      </c>
      <c r="U16" s="6">
        <f t="shared" si="2"/>
        <v>449</v>
      </c>
      <c r="V16" s="6">
        <f t="shared" si="3"/>
        <v>89.8</v>
      </c>
      <c r="W16" s="6">
        <v>15</v>
      </c>
      <c r="X16" s="18" t="s">
        <v>135</v>
      </c>
      <c r="Z16" s="33">
        <f t="shared" si="15"/>
        <v>10</v>
      </c>
      <c r="AA16" s="33">
        <v>0</v>
      </c>
      <c r="AB16" s="33">
        <f t="shared" si="4"/>
        <v>3</v>
      </c>
      <c r="AC16" s="33">
        <f t="shared" si="5"/>
        <v>0</v>
      </c>
      <c r="AD16" s="33">
        <f t="shared" si="6"/>
        <v>3</v>
      </c>
      <c r="AE16" s="33">
        <f t="shared" si="7"/>
        <v>0</v>
      </c>
      <c r="AF16" s="33">
        <f t="shared" si="8"/>
        <v>1.1200000000000001</v>
      </c>
      <c r="AG16" s="34">
        <f t="shared" si="9"/>
        <v>241.47760000000002</v>
      </c>
      <c r="AH16" s="40">
        <f t="shared" si="10"/>
        <v>31.2</v>
      </c>
      <c r="AI16" s="40">
        <f t="shared" si="11"/>
        <v>11</v>
      </c>
      <c r="AJ16" s="40">
        <f t="shared" si="12"/>
        <v>7</v>
      </c>
      <c r="AK16" s="40">
        <f t="shared" si="13"/>
        <v>9</v>
      </c>
      <c r="AL16" s="40">
        <f t="shared" si="14"/>
        <v>9</v>
      </c>
    </row>
    <row r="17" spans="1:39" x14ac:dyDescent="0.25">
      <c r="A17" s="5">
        <v>69</v>
      </c>
      <c r="B17" s="5" t="s">
        <v>132</v>
      </c>
      <c r="C17" s="5" t="s">
        <v>136</v>
      </c>
      <c r="D17" s="5" t="s">
        <v>17</v>
      </c>
      <c r="E17" s="6">
        <v>1.2</v>
      </c>
      <c r="F17" s="5" t="s">
        <v>26</v>
      </c>
      <c r="G17" s="5">
        <f>VLOOKUP(F17,Lookup!$A$8:$B$12,2,0)</f>
        <v>1</v>
      </c>
      <c r="H17" s="5" t="s">
        <v>137</v>
      </c>
      <c r="I17" s="5">
        <v>3</v>
      </c>
      <c r="J17" s="5">
        <f>VLOOKUP(I17,Lookup!$A$15:$B$18,2,0)</f>
        <v>5</v>
      </c>
      <c r="K17" s="5" t="s">
        <v>37</v>
      </c>
      <c r="L17" s="5">
        <v>2</v>
      </c>
      <c r="M17" s="6">
        <f t="shared" si="0"/>
        <v>2.4</v>
      </c>
      <c r="N17" s="5">
        <f>VLOOKUP(K17,Lookup!$A$21:$B$24,2,0)</f>
        <v>5</v>
      </c>
      <c r="O17" s="5" t="s">
        <v>138</v>
      </c>
      <c r="P17" s="5" t="s">
        <v>43</v>
      </c>
      <c r="Q17" s="5">
        <f>VLOOKUP(P17,Lookup!$A$27:$B$31,2,0)</f>
        <v>3</v>
      </c>
      <c r="R17" s="6">
        <f t="shared" si="1"/>
        <v>14</v>
      </c>
      <c r="S17" s="6">
        <f>475/5</f>
        <v>95</v>
      </c>
      <c r="T17" s="6">
        <v>806</v>
      </c>
      <c r="U17" s="6">
        <f t="shared" si="2"/>
        <v>901</v>
      </c>
      <c r="V17" s="6">
        <f t="shared" si="3"/>
        <v>450.50000000000006</v>
      </c>
      <c r="W17" s="6">
        <v>15</v>
      </c>
      <c r="X17" s="18" t="s">
        <v>120</v>
      </c>
      <c r="Y17" s="5" t="s">
        <v>139</v>
      </c>
      <c r="Z17" s="33">
        <f t="shared" si="15"/>
        <v>2.4</v>
      </c>
      <c r="AA17" s="33">
        <v>0</v>
      </c>
      <c r="AB17" s="33">
        <f t="shared" si="4"/>
        <v>0.72</v>
      </c>
      <c r="AC17" s="33">
        <f t="shared" si="5"/>
        <v>0</v>
      </c>
      <c r="AD17" s="33">
        <f t="shared" si="6"/>
        <v>0.72</v>
      </c>
      <c r="AE17" s="33">
        <f t="shared" si="7"/>
        <v>0</v>
      </c>
      <c r="AF17" s="33">
        <f t="shared" si="8"/>
        <v>0.26880000000000004</v>
      </c>
      <c r="AG17" s="34">
        <f t="shared" si="9"/>
        <v>245.58640000000003</v>
      </c>
      <c r="AH17" s="40">
        <f t="shared" si="10"/>
        <v>32.4</v>
      </c>
      <c r="AI17" s="40">
        <f t="shared" si="11"/>
        <v>13</v>
      </c>
      <c r="AJ17" s="40">
        <f t="shared" si="12"/>
        <v>9</v>
      </c>
      <c r="AK17" s="40">
        <f t="shared" si="13"/>
        <v>9</v>
      </c>
      <c r="AL17" s="40">
        <f t="shared" si="14"/>
        <v>11</v>
      </c>
    </row>
    <row r="18" spans="1:39" x14ac:dyDescent="0.25">
      <c r="A18" s="29">
        <v>70</v>
      </c>
      <c r="B18" s="5" t="s">
        <v>132</v>
      </c>
      <c r="C18" s="5" t="s">
        <v>140</v>
      </c>
      <c r="D18" s="5" t="s">
        <v>17</v>
      </c>
      <c r="E18" s="6">
        <v>1.2</v>
      </c>
      <c r="F18" s="5" t="s">
        <v>26</v>
      </c>
      <c r="G18" s="5">
        <f>VLOOKUP(F18,Lookup!$A$8:$B$12,2,0)</f>
        <v>1</v>
      </c>
      <c r="H18" s="5" t="s">
        <v>141</v>
      </c>
      <c r="I18" s="5">
        <v>3</v>
      </c>
      <c r="J18" s="5">
        <f>VLOOKUP(I18,Lookup!$A$15:$B$18,2,0)</f>
        <v>5</v>
      </c>
      <c r="K18" s="5" t="s">
        <v>37</v>
      </c>
      <c r="L18" s="5">
        <v>2</v>
      </c>
      <c r="M18" s="6">
        <f t="shared" si="0"/>
        <v>2.4</v>
      </c>
      <c r="N18" s="5">
        <f>VLOOKUP(K18,Lookup!$A$21:$B$24,2,0)</f>
        <v>5</v>
      </c>
      <c r="O18" s="5" t="s">
        <v>138</v>
      </c>
      <c r="P18" s="5" t="s">
        <v>42</v>
      </c>
      <c r="Q18" s="5">
        <f>VLOOKUP(P18,Lookup!$A$27:$B$31,2,0)</f>
        <v>4</v>
      </c>
      <c r="R18" s="6">
        <f t="shared" si="1"/>
        <v>15</v>
      </c>
      <c r="S18" s="6">
        <f>475/5</f>
        <v>95</v>
      </c>
      <c r="T18" s="6">
        <v>844</v>
      </c>
      <c r="U18" s="6">
        <f t="shared" si="2"/>
        <v>939</v>
      </c>
      <c r="V18" s="6">
        <f t="shared" si="3"/>
        <v>469.5</v>
      </c>
      <c r="W18" s="6">
        <v>15</v>
      </c>
      <c r="X18" s="18" t="s">
        <v>120</v>
      </c>
      <c r="Y18" s="5" t="s">
        <v>139</v>
      </c>
      <c r="Z18" s="33">
        <f t="shared" si="15"/>
        <v>2.4</v>
      </c>
      <c r="AA18" s="33">
        <v>0</v>
      </c>
      <c r="AB18" s="33">
        <f t="shared" si="4"/>
        <v>0.72</v>
      </c>
      <c r="AC18" s="33">
        <f t="shared" si="5"/>
        <v>0</v>
      </c>
      <c r="AD18" s="33">
        <f t="shared" si="6"/>
        <v>0.72</v>
      </c>
      <c r="AE18" s="33">
        <f t="shared" si="7"/>
        <v>0</v>
      </c>
      <c r="AF18" s="33">
        <f t="shared" si="8"/>
        <v>0.26880000000000004</v>
      </c>
      <c r="AG18" s="34">
        <f t="shared" si="9"/>
        <v>249.69520000000003</v>
      </c>
      <c r="AH18" s="40">
        <f t="shared" si="10"/>
        <v>33.6</v>
      </c>
      <c r="AI18" s="40">
        <f t="shared" si="11"/>
        <v>14</v>
      </c>
      <c r="AJ18" s="40">
        <f t="shared" si="12"/>
        <v>10</v>
      </c>
      <c r="AK18" s="40">
        <f t="shared" si="13"/>
        <v>10</v>
      </c>
      <c r="AL18" s="40">
        <f t="shared" si="14"/>
        <v>11</v>
      </c>
    </row>
    <row r="19" spans="1:39" x14ac:dyDescent="0.25">
      <c r="A19" s="29">
        <v>71</v>
      </c>
      <c r="B19" s="5" t="s">
        <v>142</v>
      </c>
      <c r="C19" s="5" t="s">
        <v>143</v>
      </c>
      <c r="D19" s="5" t="s">
        <v>17</v>
      </c>
      <c r="E19" s="6">
        <v>5</v>
      </c>
      <c r="F19" s="5" t="s">
        <v>20</v>
      </c>
      <c r="G19" s="5">
        <f>VLOOKUP(F19,Lookup!$A$8:$B$12,2,0)</f>
        <v>5</v>
      </c>
      <c r="H19" s="5" t="s">
        <v>144</v>
      </c>
      <c r="I19" s="5">
        <v>2</v>
      </c>
      <c r="J19" s="5">
        <f>VLOOKUP(I19,Lookup!$A$15:$B$18,2,0)</f>
        <v>3</v>
      </c>
      <c r="K19" s="5" t="s">
        <v>37</v>
      </c>
      <c r="L19" s="5">
        <v>3</v>
      </c>
      <c r="M19" s="6">
        <f t="shared" si="0"/>
        <v>15</v>
      </c>
      <c r="N19" s="5">
        <f>VLOOKUP(K19,Lookup!$A$21:$B$24,2,0)</f>
        <v>5</v>
      </c>
      <c r="O19" s="5" t="s">
        <v>145</v>
      </c>
      <c r="P19" s="5" t="s">
        <v>43</v>
      </c>
      <c r="Q19" s="5">
        <f>VLOOKUP(P19,Lookup!$A$27:$B$31,2,0)</f>
        <v>3</v>
      </c>
      <c r="R19" s="6">
        <f t="shared" si="1"/>
        <v>16</v>
      </c>
      <c r="S19" s="6">
        <f>361*0.1</f>
        <v>36.1</v>
      </c>
      <c r="T19" s="6">
        <v>411</v>
      </c>
      <c r="U19" s="6">
        <f t="shared" si="2"/>
        <v>447.1</v>
      </c>
      <c r="V19" s="6">
        <f t="shared" si="3"/>
        <v>149.03333333333333</v>
      </c>
      <c r="W19" s="6">
        <v>15</v>
      </c>
      <c r="X19" s="18" t="s">
        <v>120</v>
      </c>
      <c r="Z19" s="33">
        <f t="shared" si="15"/>
        <v>15</v>
      </c>
      <c r="AA19" s="33">
        <v>0</v>
      </c>
      <c r="AB19" s="33">
        <f t="shared" si="4"/>
        <v>4.5</v>
      </c>
      <c r="AC19" s="33">
        <f t="shared" si="5"/>
        <v>0</v>
      </c>
      <c r="AD19" s="33">
        <f t="shared" si="6"/>
        <v>4.5</v>
      </c>
      <c r="AE19" s="33">
        <f t="shared" si="7"/>
        <v>0</v>
      </c>
      <c r="AF19" s="33">
        <f t="shared" si="8"/>
        <v>1.6800000000000002</v>
      </c>
      <c r="AG19" s="34">
        <f t="shared" si="9"/>
        <v>275.37520000000001</v>
      </c>
      <c r="AH19" s="40">
        <f t="shared" si="10"/>
        <v>38.6</v>
      </c>
      <c r="AI19" s="40">
        <f t="shared" si="11"/>
        <v>11</v>
      </c>
      <c r="AJ19" s="40">
        <f t="shared" si="12"/>
        <v>13</v>
      </c>
      <c r="AK19" s="40">
        <f t="shared" si="13"/>
        <v>11</v>
      </c>
      <c r="AL19" s="40">
        <f t="shared" si="14"/>
        <v>13</v>
      </c>
    </row>
    <row r="20" spans="1:39" x14ac:dyDescent="0.25">
      <c r="A20" s="5">
        <v>39</v>
      </c>
      <c r="B20" s="5" t="s">
        <v>146</v>
      </c>
      <c r="C20" s="5" t="s">
        <v>147</v>
      </c>
      <c r="D20" s="5" t="s">
        <v>17</v>
      </c>
      <c r="E20" s="6">
        <v>2.2000000000000002</v>
      </c>
      <c r="F20" s="5" t="s">
        <v>20</v>
      </c>
      <c r="G20" s="5">
        <f>VLOOKUP(F20,Lookup!$A$8:$B$12,2,0)</f>
        <v>5</v>
      </c>
      <c r="H20" s="5" t="s">
        <v>148</v>
      </c>
      <c r="I20" s="5">
        <v>3</v>
      </c>
      <c r="J20" s="5">
        <f>VLOOKUP(I20,Lookup!$A$15:$B$18,2,0)</f>
        <v>5</v>
      </c>
      <c r="K20" s="5" t="s">
        <v>37</v>
      </c>
      <c r="L20" s="5">
        <v>2</v>
      </c>
      <c r="M20" s="6">
        <f t="shared" si="0"/>
        <v>4.4000000000000004</v>
      </c>
      <c r="N20" s="5">
        <f>VLOOKUP(K20,Lookup!$A$21:$B$24,2,0)</f>
        <v>5</v>
      </c>
      <c r="O20" s="5" t="s">
        <v>149</v>
      </c>
      <c r="P20" s="5" t="s">
        <v>42</v>
      </c>
      <c r="Q20" s="5">
        <f>VLOOKUP(P20,Lookup!$A$27:$B$31,2,0)</f>
        <v>4</v>
      </c>
      <c r="R20" s="6">
        <f t="shared" si="1"/>
        <v>19</v>
      </c>
      <c r="T20" s="6">
        <v>255</v>
      </c>
      <c r="U20" s="6">
        <f t="shared" si="2"/>
        <v>255</v>
      </c>
      <c r="V20" s="6">
        <f t="shared" si="3"/>
        <v>127.49999999999999</v>
      </c>
      <c r="W20" s="6">
        <v>20</v>
      </c>
      <c r="X20" s="18" t="s">
        <v>120</v>
      </c>
      <c r="Z20" s="33">
        <f t="shared" si="15"/>
        <v>4.4000000000000004</v>
      </c>
      <c r="AA20" s="33">
        <v>0</v>
      </c>
      <c r="AB20" s="33">
        <f t="shared" si="4"/>
        <v>1.32</v>
      </c>
      <c r="AC20" s="33">
        <f t="shared" si="5"/>
        <v>0</v>
      </c>
      <c r="AD20" s="33">
        <f t="shared" si="6"/>
        <v>1.32</v>
      </c>
      <c r="AE20" s="33">
        <f t="shared" si="7"/>
        <v>0</v>
      </c>
      <c r="AF20" s="33">
        <f t="shared" si="8"/>
        <v>0.49280000000000013</v>
      </c>
      <c r="AG20" s="34">
        <f t="shared" si="9"/>
        <v>282.90800000000002</v>
      </c>
      <c r="AH20" s="40">
        <f t="shared" si="10"/>
        <v>40.800000000000004</v>
      </c>
      <c r="AI20" s="40">
        <f t="shared" si="11"/>
        <v>14</v>
      </c>
      <c r="AJ20" s="40">
        <f t="shared" si="12"/>
        <v>14</v>
      </c>
      <c r="AK20" s="40">
        <f t="shared" si="13"/>
        <v>14</v>
      </c>
      <c r="AL20" s="40">
        <f t="shared" si="14"/>
        <v>15</v>
      </c>
    </row>
    <row r="21" spans="1:39" x14ac:dyDescent="0.25">
      <c r="A21" s="29">
        <v>40</v>
      </c>
      <c r="B21" s="5" t="s">
        <v>146</v>
      </c>
      <c r="C21" s="5" t="s">
        <v>150</v>
      </c>
      <c r="D21" s="5" t="s">
        <v>18</v>
      </c>
      <c r="E21" s="6">
        <v>1.1000000000000001</v>
      </c>
      <c r="F21" s="5" t="s">
        <v>24</v>
      </c>
      <c r="G21" s="5">
        <f>VLOOKUP(F21,Lookup!$A$8:$B$12,2,0)</f>
        <v>4</v>
      </c>
      <c r="H21" s="5" t="s">
        <v>151</v>
      </c>
      <c r="I21" s="5">
        <v>3</v>
      </c>
      <c r="J21" s="5">
        <f>VLOOKUP(I21,Lookup!$A$15:$B$18,2,0)</f>
        <v>5</v>
      </c>
      <c r="K21" s="5" t="s">
        <v>35</v>
      </c>
      <c r="L21" s="5">
        <f>VLOOKUP(K21,Lookup!$D$21:$E$24,2,0)</f>
        <v>5</v>
      </c>
      <c r="M21" s="6">
        <f t="shared" si="0"/>
        <v>5.5</v>
      </c>
      <c r="N21" s="5">
        <f>VLOOKUP(K21,Lookup!$A$21:$B$24,2,0)</f>
        <v>3</v>
      </c>
      <c r="O21" s="5" t="s">
        <v>152</v>
      </c>
      <c r="P21" s="5" t="s">
        <v>43</v>
      </c>
      <c r="Q21" s="5">
        <f>VLOOKUP(P21,Lookup!$A$27:$B$31,2,0)</f>
        <v>3</v>
      </c>
      <c r="R21" s="6">
        <f t="shared" si="1"/>
        <v>15</v>
      </c>
      <c r="T21" s="6">
        <v>525</v>
      </c>
      <c r="U21" s="6">
        <f t="shared" si="2"/>
        <v>525</v>
      </c>
      <c r="V21" s="6">
        <f t="shared" si="3"/>
        <v>105</v>
      </c>
      <c r="W21" s="6">
        <v>20</v>
      </c>
      <c r="X21" s="18" t="s">
        <v>153</v>
      </c>
      <c r="Z21" s="33">
        <f t="shared" si="15"/>
        <v>5.5</v>
      </c>
      <c r="AA21" s="33">
        <v>0</v>
      </c>
      <c r="AB21" s="33">
        <f t="shared" si="4"/>
        <v>1.65</v>
      </c>
      <c r="AC21" s="33">
        <f t="shared" si="5"/>
        <v>0</v>
      </c>
      <c r="AD21" s="33">
        <f t="shared" si="6"/>
        <v>1.65</v>
      </c>
      <c r="AE21" s="33">
        <f t="shared" si="7"/>
        <v>0</v>
      </c>
      <c r="AF21" s="33">
        <f t="shared" si="8"/>
        <v>0.6160000000000001</v>
      </c>
      <c r="AG21" s="34">
        <f t="shared" si="9"/>
        <v>292.32400000000001</v>
      </c>
      <c r="AH21" s="40">
        <f t="shared" si="10"/>
        <v>41.900000000000006</v>
      </c>
      <c r="AI21" s="40">
        <f t="shared" si="11"/>
        <v>11</v>
      </c>
      <c r="AJ21" s="40">
        <f t="shared" si="12"/>
        <v>10</v>
      </c>
      <c r="AK21" s="40">
        <f t="shared" si="13"/>
        <v>12</v>
      </c>
      <c r="AL21" s="40">
        <f t="shared" si="14"/>
        <v>12</v>
      </c>
    </row>
    <row r="22" spans="1:39" x14ac:dyDescent="0.25">
      <c r="A22" s="29">
        <v>98</v>
      </c>
      <c r="B22" s="5" t="s">
        <v>154</v>
      </c>
      <c r="C22" s="5" t="s">
        <v>155</v>
      </c>
      <c r="D22" s="5" t="s">
        <v>15</v>
      </c>
      <c r="E22" s="6">
        <v>2.8</v>
      </c>
      <c r="F22" s="5" t="s">
        <v>24</v>
      </c>
      <c r="G22" s="5">
        <f>VLOOKUP(F22,Lookup!$A$8:$B$12,2,0)</f>
        <v>4</v>
      </c>
      <c r="H22" s="5" t="s">
        <v>156</v>
      </c>
      <c r="I22" s="5">
        <v>2</v>
      </c>
      <c r="J22" s="5">
        <f>VLOOKUP(I22,Lookup!$A$15:$B$18,2,0)</f>
        <v>3</v>
      </c>
      <c r="K22" s="5" t="s">
        <v>37</v>
      </c>
      <c r="L22" s="5">
        <v>2</v>
      </c>
      <c r="M22" s="6">
        <f t="shared" si="0"/>
        <v>5.6</v>
      </c>
      <c r="N22" s="5">
        <f>VLOOKUP(K22,Lookup!$A$21:$B$24,2,0)</f>
        <v>5</v>
      </c>
      <c r="O22" s="5" t="s">
        <v>157</v>
      </c>
      <c r="P22" s="5" t="s">
        <v>42</v>
      </c>
      <c r="Q22" s="5">
        <f>VLOOKUP(P22,Lookup!$A$27:$B$31,2,0)</f>
        <v>4</v>
      </c>
      <c r="R22" s="6">
        <f t="shared" si="1"/>
        <v>16</v>
      </c>
      <c r="T22" s="6">
        <v>1269</v>
      </c>
      <c r="U22" s="6">
        <f t="shared" si="2"/>
        <v>1269</v>
      </c>
      <c r="V22" s="6">
        <f t="shared" si="3"/>
        <v>634.5</v>
      </c>
      <c r="W22" s="6">
        <v>20</v>
      </c>
      <c r="X22" s="18" t="s">
        <v>158</v>
      </c>
      <c r="Z22" s="33">
        <f t="shared" si="15"/>
        <v>5.6</v>
      </c>
      <c r="AA22" s="33">
        <v>0</v>
      </c>
      <c r="AB22" s="33">
        <f t="shared" si="4"/>
        <v>1.68</v>
      </c>
      <c r="AC22" s="33">
        <f t="shared" si="5"/>
        <v>0</v>
      </c>
      <c r="AD22" s="33">
        <f t="shared" si="6"/>
        <v>1.68</v>
      </c>
      <c r="AE22" s="33">
        <f t="shared" si="7"/>
        <v>0</v>
      </c>
      <c r="AF22" s="33">
        <f t="shared" si="8"/>
        <v>0.62719999999999998</v>
      </c>
      <c r="AG22" s="34">
        <f t="shared" si="9"/>
        <v>301.91120000000001</v>
      </c>
      <c r="AH22" s="40">
        <f t="shared" si="10"/>
        <v>44.7</v>
      </c>
      <c r="AI22" s="40">
        <f t="shared" si="11"/>
        <v>12</v>
      </c>
      <c r="AJ22" s="40">
        <f t="shared" si="12"/>
        <v>13</v>
      </c>
      <c r="AK22" s="40">
        <f t="shared" si="13"/>
        <v>11</v>
      </c>
      <c r="AL22" s="40">
        <f t="shared" si="14"/>
        <v>12</v>
      </c>
    </row>
    <row r="23" spans="1:39" x14ac:dyDescent="0.25">
      <c r="A23" s="29">
        <v>100</v>
      </c>
      <c r="B23" s="5" t="s">
        <v>154</v>
      </c>
      <c r="C23" s="5" t="s">
        <v>159</v>
      </c>
      <c r="D23" s="5" t="s">
        <v>15</v>
      </c>
      <c r="E23" s="6">
        <v>1</v>
      </c>
      <c r="F23" s="5" t="s">
        <v>20</v>
      </c>
      <c r="G23" s="5">
        <f>VLOOKUP(F23,Lookup!$A$8:$B$12,2,0)</f>
        <v>5</v>
      </c>
      <c r="H23" s="5" t="s">
        <v>160</v>
      </c>
      <c r="I23" s="5">
        <v>2</v>
      </c>
      <c r="J23" s="5">
        <f>VLOOKUP(I23,Lookup!$A$15:$B$18,2,0)</f>
        <v>3</v>
      </c>
      <c r="K23" s="5" t="s">
        <v>37</v>
      </c>
      <c r="L23" s="5">
        <v>2</v>
      </c>
      <c r="M23" s="6">
        <f t="shared" si="0"/>
        <v>2</v>
      </c>
      <c r="N23" s="5">
        <f>VLOOKUP(K23,Lookup!$A$21:$B$24,2,0)</f>
        <v>5</v>
      </c>
      <c r="O23" s="5" t="s">
        <v>161</v>
      </c>
      <c r="P23" s="5" t="s">
        <v>43</v>
      </c>
      <c r="Q23" s="5">
        <f>VLOOKUP(P23,Lookup!$A$27:$B$31,2,0)</f>
        <v>3</v>
      </c>
      <c r="R23" s="6">
        <f t="shared" si="1"/>
        <v>16</v>
      </c>
      <c r="T23" s="6">
        <v>143</v>
      </c>
      <c r="U23" s="6">
        <f t="shared" si="2"/>
        <v>143</v>
      </c>
      <c r="V23" s="6">
        <f t="shared" si="3"/>
        <v>71.5</v>
      </c>
      <c r="W23" s="6">
        <v>20</v>
      </c>
      <c r="X23" s="18" t="s">
        <v>162</v>
      </c>
      <c r="Y23" s="5" t="s">
        <v>163</v>
      </c>
      <c r="Z23" s="33">
        <f t="shared" si="15"/>
        <v>2</v>
      </c>
      <c r="AA23" s="33">
        <v>0</v>
      </c>
      <c r="AB23" s="33">
        <f t="shared" si="4"/>
        <v>0.6</v>
      </c>
      <c r="AC23" s="33">
        <f t="shared" si="5"/>
        <v>0</v>
      </c>
      <c r="AD23" s="33">
        <f t="shared" si="6"/>
        <v>0.6</v>
      </c>
      <c r="AE23" s="33">
        <f t="shared" si="7"/>
        <v>0</v>
      </c>
      <c r="AF23" s="33">
        <f t="shared" si="8"/>
        <v>0.22400000000000003</v>
      </c>
      <c r="AG23" s="34">
        <f t="shared" si="9"/>
        <v>305.33519999999999</v>
      </c>
      <c r="AH23" s="40">
        <f t="shared" si="10"/>
        <v>45.7</v>
      </c>
      <c r="AI23" s="40">
        <f t="shared" si="11"/>
        <v>11</v>
      </c>
      <c r="AJ23" s="40">
        <f t="shared" si="12"/>
        <v>13</v>
      </c>
      <c r="AK23" s="40">
        <f t="shared" si="13"/>
        <v>11</v>
      </c>
      <c r="AL23" s="40">
        <f t="shared" si="14"/>
        <v>13</v>
      </c>
    </row>
    <row r="24" spans="1:39" s="47" customFormat="1" x14ac:dyDescent="0.25">
      <c r="A24" s="46">
        <v>110</v>
      </c>
      <c r="B24" s="47" t="s">
        <v>164</v>
      </c>
      <c r="C24" s="47" t="s">
        <v>165</v>
      </c>
      <c r="D24" s="47" t="s">
        <v>15</v>
      </c>
      <c r="E24" s="48">
        <v>1.9</v>
      </c>
      <c r="F24" s="47" t="s">
        <v>24</v>
      </c>
      <c r="G24" s="47">
        <f>VLOOKUP(F24,Lookup!$A$8:$B$12,2,0)</f>
        <v>4</v>
      </c>
      <c r="H24" s="47" t="s">
        <v>166</v>
      </c>
      <c r="I24" s="47">
        <v>3</v>
      </c>
      <c r="J24" s="47">
        <f>VLOOKUP(I24,Lookup!$A$15:$B$18,2,0)</f>
        <v>5</v>
      </c>
      <c r="K24" s="47" t="s">
        <v>35</v>
      </c>
      <c r="L24" s="47">
        <f>VLOOKUP(K24,Lookup!$D$21:$E$24,2,0)</f>
        <v>5</v>
      </c>
      <c r="M24" s="48">
        <f t="shared" si="0"/>
        <v>9.5</v>
      </c>
      <c r="N24" s="47">
        <f>VLOOKUP(K24,Lookup!$A$21:$B$24,2,0)</f>
        <v>3</v>
      </c>
      <c r="O24" s="47" t="s">
        <v>167</v>
      </c>
      <c r="P24" s="47" t="s">
        <v>43</v>
      </c>
      <c r="Q24" s="47">
        <f>VLOOKUP(P24,Lookup!$A$27:$B$31,2,0)</f>
        <v>3</v>
      </c>
      <c r="R24" s="48">
        <f t="shared" si="1"/>
        <v>15</v>
      </c>
      <c r="S24" s="48">
        <f>303*0.1</f>
        <v>30.3</v>
      </c>
      <c r="T24" s="48">
        <v>520</v>
      </c>
      <c r="U24" s="48">
        <f t="shared" si="2"/>
        <v>550.29999999999995</v>
      </c>
      <c r="V24" s="48">
        <f t="shared" si="3"/>
        <v>110.05999999999999</v>
      </c>
      <c r="W24" s="48">
        <v>20</v>
      </c>
      <c r="X24" s="49" t="s">
        <v>168</v>
      </c>
      <c r="Y24" s="47" t="s">
        <v>169</v>
      </c>
      <c r="Z24" s="50">
        <v>0</v>
      </c>
      <c r="AA24" s="50">
        <v>0</v>
      </c>
      <c r="AB24" s="50">
        <f t="shared" si="4"/>
        <v>0</v>
      </c>
      <c r="AC24" s="50">
        <f t="shared" si="5"/>
        <v>0</v>
      </c>
      <c r="AD24" s="50">
        <f t="shared" si="6"/>
        <v>0</v>
      </c>
      <c r="AE24" s="50">
        <f t="shared" si="7"/>
        <v>0</v>
      </c>
      <c r="AF24" s="50">
        <f t="shared" si="8"/>
        <v>0</v>
      </c>
      <c r="AG24" s="51">
        <f t="shared" si="9"/>
        <v>305.33519999999999</v>
      </c>
      <c r="AH24" s="52">
        <f t="shared" si="10"/>
        <v>47.6</v>
      </c>
      <c r="AI24" s="40">
        <f t="shared" si="11"/>
        <v>11</v>
      </c>
      <c r="AJ24" s="40">
        <f t="shared" si="12"/>
        <v>10</v>
      </c>
      <c r="AK24" s="40">
        <f t="shared" si="13"/>
        <v>12</v>
      </c>
      <c r="AL24" s="40">
        <f t="shared" si="14"/>
        <v>12</v>
      </c>
    </row>
    <row r="25" spans="1:39" x14ac:dyDescent="0.25">
      <c r="A25" s="29">
        <v>112</v>
      </c>
      <c r="B25" s="5" t="s">
        <v>170</v>
      </c>
      <c r="C25" s="5" t="s">
        <v>171</v>
      </c>
      <c r="D25" s="5" t="s">
        <v>15</v>
      </c>
      <c r="E25" s="6">
        <v>2.2000000000000002</v>
      </c>
      <c r="F25" s="5" t="s">
        <v>24</v>
      </c>
      <c r="G25" s="5">
        <f>VLOOKUP(F25,Lookup!$A$8:$B$12,2,0)</f>
        <v>4</v>
      </c>
      <c r="H25" s="5" t="s">
        <v>172</v>
      </c>
      <c r="I25" s="5">
        <v>3</v>
      </c>
      <c r="J25" s="5">
        <f>VLOOKUP(I25,Lookup!$A$15:$B$18,2,0)</f>
        <v>5</v>
      </c>
      <c r="K25" s="5" t="s">
        <v>32</v>
      </c>
      <c r="L25" s="5">
        <f>VLOOKUP(K25,Lookup!$D$21:$E$24,2,0)</f>
        <v>20</v>
      </c>
      <c r="M25" s="6">
        <f t="shared" si="0"/>
        <v>44</v>
      </c>
      <c r="N25" s="5">
        <f>VLOOKUP(K25,Lookup!$A$21:$B$24,2,0)</f>
        <v>1</v>
      </c>
      <c r="O25" s="5" t="s">
        <v>173</v>
      </c>
      <c r="P25" s="5" t="s">
        <v>43</v>
      </c>
      <c r="Q25" s="5">
        <f>VLOOKUP(P25,Lookup!$A$27:$B$31,2,0)</f>
        <v>3</v>
      </c>
      <c r="R25" s="6">
        <f t="shared" si="1"/>
        <v>13</v>
      </c>
      <c r="S25" s="6">
        <f>80*0.2</f>
        <v>16</v>
      </c>
      <c r="T25" s="6">
        <v>1429</v>
      </c>
      <c r="U25" s="6">
        <f t="shared" si="2"/>
        <v>1445</v>
      </c>
      <c r="V25" s="6">
        <f t="shared" si="3"/>
        <v>72.250000000000014</v>
      </c>
      <c r="W25" s="6">
        <v>20</v>
      </c>
      <c r="X25" s="18" t="s">
        <v>174</v>
      </c>
      <c r="Y25" s="5" t="s">
        <v>175</v>
      </c>
      <c r="Z25" s="33">
        <v>0</v>
      </c>
      <c r="AA25" s="33">
        <v>18</v>
      </c>
      <c r="AB25" s="33">
        <f t="shared" si="4"/>
        <v>0</v>
      </c>
      <c r="AC25" s="33">
        <f t="shared" si="5"/>
        <v>5.3999999999999995</v>
      </c>
      <c r="AD25" s="33">
        <f t="shared" si="6"/>
        <v>0</v>
      </c>
      <c r="AE25" s="33">
        <f t="shared" si="7"/>
        <v>5.3999999999999995</v>
      </c>
      <c r="AF25" s="33">
        <f t="shared" si="8"/>
        <v>2.016</v>
      </c>
      <c r="AG25" s="34">
        <f t="shared" si="9"/>
        <v>336.15119999999996</v>
      </c>
      <c r="AH25" s="40">
        <f t="shared" si="10"/>
        <v>49.800000000000004</v>
      </c>
      <c r="AI25" s="40">
        <f t="shared" si="11"/>
        <v>9</v>
      </c>
      <c r="AJ25" s="40">
        <f t="shared" si="12"/>
        <v>8</v>
      </c>
      <c r="AK25" s="40">
        <f t="shared" si="13"/>
        <v>12</v>
      </c>
      <c r="AL25" s="40">
        <f t="shared" si="14"/>
        <v>10</v>
      </c>
      <c r="AM25" s="46" t="s">
        <v>176</v>
      </c>
    </row>
    <row r="26" spans="1:39" x14ac:dyDescent="0.25">
      <c r="A26" s="5">
        <v>114</v>
      </c>
      <c r="B26" s="5" t="s">
        <v>170</v>
      </c>
      <c r="C26" s="5" t="s">
        <v>177</v>
      </c>
      <c r="D26" s="5" t="s">
        <v>17</v>
      </c>
      <c r="E26" s="6">
        <v>1.9</v>
      </c>
      <c r="F26" s="5" t="s">
        <v>24</v>
      </c>
      <c r="G26" s="5">
        <f>VLOOKUP(F26,Lookup!$A$8:$B$12,2,0)</f>
        <v>4</v>
      </c>
      <c r="H26" s="5" t="s">
        <v>172</v>
      </c>
      <c r="I26" s="5">
        <v>3</v>
      </c>
      <c r="J26" s="5">
        <f>VLOOKUP(I26,Lookup!$A$15:$B$18,2,0)</f>
        <v>5</v>
      </c>
      <c r="K26" s="5" t="s">
        <v>37</v>
      </c>
      <c r="L26" s="5">
        <v>2</v>
      </c>
      <c r="M26" s="6">
        <f t="shared" si="0"/>
        <v>3.8</v>
      </c>
      <c r="N26" s="5">
        <f>VLOOKUP(K26,Lookup!$A$21:$B$24,2,0)</f>
        <v>5</v>
      </c>
      <c r="O26" s="5" t="s">
        <v>178</v>
      </c>
      <c r="P26" s="5" t="s">
        <v>44</v>
      </c>
      <c r="Q26" s="5">
        <f>VLOOKUP(P26,Lookup!$A$27:$B$31,2,0)</f>
        <v>2</v>
      </c>
      <c r="R26" s="6">
        <f t="shared" si="1"/>
        <v>16</v>
      </c>
      <c r="S26" s="6">
        <f>80*0.2</f>
        <v>16</v>
      </c>
      <c r="T26" s="6">
        <v>912</v>
      </c>
      <c r="U26" s="6">
        <f t="shared" si="2"/>
        <v>928</v>
      </c>
      <c r="V26" s="6">
        <f t="shared" si="3"/>
        <v>464</v>
      </c>
      <c r="W26" s="6">
        <v>20</v>
      </c>
      <c r="X26" s="18" t="s">
        <v>179</v>
      </c>
      <c r="Z26" s="33">
        <f t="shared" ref="Z26:Z37" si="16">M26</f>
        <v>3.8</v>
      </c>
      <c r="AA26" s="33">
        <v>0</v>
      </c>
      <c r="AB26" s="33">
        <f t="shared" si="4"/>
        <v>1.1399999999999999</v>
      </c>
      <c r="AC26" s="33">
        <f t="shared" si="5"/>
        <v>0</v>
      </c>
      <c r="AD26" s="33">
        <f t="shared" si="6"/>
        <v>1.1399999999999999</v>
      </c>
      <c r="AE26" s="33">
        <f t="shared" si="7"/>
        <v>0</v>
      </c>
      <c r="AF26" s="33">
        <f t="shared" si="8"/>
        <v>0.42559999999999998</v>
      </c>
      <c r="AG26" s="34">
        <f t="shared" si="9"/>
        <v>342.65679999999998</v>
      </c>
      <c r="AH26" s="40">
        <f t="shared" si="10"/>
        <v>51.7</v>
      </c>
      <c r="AI26" s="40">
        <f t="shared" si="11"/>
        <v>12</v>
      </c>
      <c r="AJ26" s="40">
        <f t="shared" si="12"/>
        <v>11</v>
      </c>
      <c r="AK26" s="40">
        <f t="shared" si="13"/>
        <v>11</v>
      </c>
      <c r="AL26" s="40">
        <f t="shared" si="14"/>
        <v>14</v>
      </c>
    </row>
    <row r="27" spans="1:39" x14ac:dyDescent="0.25">
      <c r="A27" s="29">
        <v>124</v>
      </c>
      <c r="B27" s="5" t="s">
        <v>180</v>
      </c>
      <c r="C27" s="5" t="s">
        <v>181</v>
      </c>
      <c r="D27" s="5" t="s">
        <v>18</v>
      </c>
      <c r="E27" s="6">
        <v>3.4</v>
      </c>
      <c r="F27" s="5" t="s">
        <v>20</v>
      </c>
      <c r="G27" s="5">
        <f>VLOOKUP(F27,Lookup!$A$8:$B$12,2,0)</f>
        <v>5</v>
      </c>
      <c r="H27" s="5" t="s">
        <v>182</v>
      </c>
      <c r="I27" s="5">
        <v>2</v>
      </c>
      <c r="J27" s="5">
        <f>VLOOKUP(I27,Lookup!$A$15:$B$18,2,0)</f>
        <v>3</v>
      </c>
      <c r="K27" s="5" t="s">
        <v>37</v>
      </c>
      <c r="L27" s="5">
        <v>2</v>
      </c>
      <c r="M27" s="6">
        <f t="shared" si="0"/>
        <v>6.8</v>
      </c>
      <c r="N27" s="5">
        <f>VLOOKUP(K27,Lookup!$A$21:$B$24,2,0)</f>
        <v>5</v>
      </c>
      <c r="O27" s="5" t="s">
        <v>183</v>
      </c>
      <c r="P27" s="5" t="s">
        <v>44</v>
      </c>
      <c r="Q27" s="5">
        <f>VLOOKUP(P27,Lookup!$A$27:$B$31,2,0)</f>
        <v>2</v>
      </c>
      <c r="R27" s="6">
        <f t="shared" si="1"/>
        <v>15</v>
      </c>
      <c r="T27" s="6">
        <v>800</v>
      </c>
      <c r="U27" s="6">
        <f t="shared" si="2"/>
        <v>800</v>
      </c>
      <c r="V27" s="6">
        <f t="shared" si="3"/>
        <v>400</v>
      </c>
      <c r="W27" s="6">
        <v>20</v>
      </c>
      <c r="X27" s="18" t="s">
        <v>120</v>
      </c>
      <c r="Z27" s="33">
        <f t="shared" si="16"/>
        <v>6.8</v>
      </c>
      <c r="AA27" s="33">
        <v>0</v>
      </c>
      <c r="AB27" s="33">
        <f t="shared" si="4"/>
        <v>2.04</v>
      </c>
      <c r="AC27" s="33">
        <f t="shared" si="5"/>
        <v>0</v>
      </c>
      <c r="AD27" s="33">
        <f t="shared" si="6"/>
        <v>2.04</v>
      </c>
      <c r="AE27" s="33">
        <f t="shared" si="7"/>
        <v>0</v>
      </c>
      <c r="AF27" s="33">
        <f t="shared" si="8"/>
        <v>0.76160000000000005</v>
      </c>
      <c r="AG27" s="34">
        <f t="shared" si="9"/>
        <v>354.29839999999996</v>
      </c>
      <c r="AH27" s="40">
        <f t="shared" si="10"/>
        <v>55.1</v>
      </c>
      <c r="AI27" s="40">
        <f t="shared" si="11"/>
        <v>10</v>
      </c>
      <c r="AJ27" s="40">
        <f t="shared" si="12"/>
        <v>12</v>
      </c>
      <c r="AK27" s="40">
        <f t="shared" si="13"/>
        <v>10</v>
      </c>
      <c r="AL27" s="40">
        <f t="shared" si="14"/>
        <v>13</v>
      </c>
    </row>
    <row r="28" spans="1:39" x14ac:dyDescent="0.25">
      <c r="A28" s="29">
        <v>125</v>
      </c>
      <c r="B28" s="5" t="s">
        <v>180</v>
      </c>
      <c r="C28" s="5" t="s">
        <v>184</v>
      </c>
      <c r="D28" s="5" t="s">
        <v>17</v>
      </c>
      <c r="E28" s="6">
        <v>2.8</v>
      </c>
      <c r="F28" s="5" t="s">
        <v>20</v>
      </c>
      <c r="G28" s="5">
        <f>VLOOKUP(F28,Lookup!$A$8:$B$12,2,0)</f>
        <v>5</v>
      </c>
      <c r="H28" s="5" t="s">
        <v>182</v>
      </c>
      <c r="I28" s="5">
        <v>3</v>
      </c>
      <c r="J28" s="5">
        <f>VLOOKUP(I28,Lookup!$A$15:$B$18,2,0)</f>
        <v>5</v>
      </c>
      <c r="K28" s="5" t="s">
        <v>37</v>
      </c>
      <c r="L28" s="5">
        <v>2</v>
      </c>
      <c r="M28" s="6">
        <f t="shared" si="0"/>
        <v>5.6</v>
      </c>
      <c r="N28" s="5">
        <f>VLOOKUP(K28,Lookup!$A$21:$B$24,2,0)</f>
        <v>5</v>
      </c>
      <c r="O28" s="5" t="s">
        <v>185</v>
      </c>
      <c r="P28" s="5" t="s">
        <v>43</v>
      </c>
      <c r="Q28" s="5">
        <f>VLOOKUP(P28,Lookup!$A$27:$B$31,2,0)</f>
        <v>3</v>
      </c>
      <c r="R28" s="6">
        <f t="shared" si="1"/>
        <v>18</v>
      </c>
      <c r="T28" s="6">
        <v>425</v>
      </c>
      <c r="U28" s="6">
        <f t="shared" si="2"/>
        <v>425</v>
      </c>
      <c r="V28" s="6">
        <f t="shared" si="3"/>
        <v>212.5</v>
      </c>
      <c r="W28" s="6">
        <v>20</v>
      </c>
      <c r="X28" s="18" t="s">
        <v>120</v>
      </c>
      <c r="Z28" s="33">
        <f t="shared" si="16"/>
        <v>5.6</v>
      </c>
      <c r="AA28" s="33">
        <v>0</v>
      </c>
      <c r="AB28" s="33">
        <f t="shared" si="4"/>
        <v>1.68</v>
      </c>
      <c r="AC28" s="33">
        <f t="shared" si="5"/>
        <v>0</v>
      </c>
      <c r="AD28" s="33">
        <f t="shared" si="6"/>
        <v>1.68</v>
      </c>
      <c r="AE28" s="33">
        <f t="shared" si="7"/>
        <v>0</v>
      </c>
      <c r="AF28" s="33">
        <f t="shared" si="8"/>
        <v>0.62719999999999998</v>
      </c>
      <c r="AG28" s="34">
        <f t="shared" si="9"/>
        <v>363.88559999999995</v>
      </c>
      <c r="AH28" s="40">
        <f t="shared" si="10"/>
        <v>57.9</v>
      </c>
      <c r="AI28" s="40">
        <f t="shared" si="11"/>
        <v>13</v>
      </c>
      <c r="AJ28" s="40">
        <f t="shared" si="12"/>
        <v>13</v>
      </c>
      <c r="AK28" s="40">
        <f t="shared" si="13"/>
        <v>13</v>
      </c>
      <c r="AL28" s="40">
        <f t="shared" si="14"/>
        <v>15</v>
      </c>
    </row>
    <row r="29" spans="1:39" x14ac:dyDescent="0.25">
      <c r="A29" s="29">
        <v>20</v>
      </c>
      <c r="B29" s="5" t="s">
        <v>186</v>
      </c>
      <c r="C29" s="5" t="s">
        <v>187</v>
      </c>
      <c r="D29" s="5" t="s">
        <v>17</v>
      </c>
      <c r="E29" s="6">
        <v>3</v>
      </c>
      <c r="F29" s="5" t="s">
        <v>24</v>
      </c>
      <c r="G29" s="5">
        <f>VLOOKUP(F29,Lookup!$A$8:$B$12,2,0)</f>
        <v>4</v>
      </c>
      <c r="H29" s="5" t="s">
        <v>188</v>
      </c>
      <c r="I29" s="5">
        <v>3</v>
      </c>
      <c r="J29" s="5">
        <f>VLOOKUP(I29,Lookup!$A$15:$B$18,2,0)</f>
        <v>5</v>
      </c>
      <c r="K29" s="5" t="s">
        <v>37</v>
      </c>
      <c r="L29" s="5">
        <v>2</v>
      </c>
      <c r="M29" s="6">
        <f t="shared" si="0"/>
        <v>6</v>
      </c>
      <c r="N29" s="5">
        <f>VLOOKUP(K29,Lookup!$A$21:$B$24,2,0)</f>
        <v>5</v>
      </c>
      <c r="O29" s="5" t="s">
        <v>189</v>
      </c>
      <c r="P29" s="5" t="s">
        <v>44</v>
      </c>
      <c r="Q29" s="5">
        <f>VLOOKUP(P29,Lookup!$A$27:$B$31,2,0)</f>
        <v>2</v>
      </c>
      <c r="R29" s="6">
        <f t="shared" si="1"/>
        <v>16</v>
      </c>
      <c r="S29" s="6">
        <f>1235*0.1</f>
        <v>123.5</v>
      </c>
      <c r="T29" s="6">
        <v>327</v>
      </c>
      <c r="U29" s="6">
        <f t="shared" si="2"/>
        <v>450.5</v>
      </c>
      <c r="V29" s="6">
        <f t="shared" si="3"/>
        <v>225.25</v>
      </c>
      <c r="W29" s="6">
        <v>25</v>
      </c>
      <c r="X29" s="18" t="s">
        <v>120</v>
      </c>
      <c r="Z29" s="33">
        <f t="shared" si="16"/>
        <v>6</v>
      </c>
      <c r="AA29" s="33">
        <v>0</v>
      </c>
      <c r="AB29" s="33">
        <f t="shared" si="4"/>
        <v>1.7999999999999998</v>
      </c>
      <c r="AC29" s="33">
        <f t="shared" si="5"/>
        <v>0</v>
      </c>
      <c r="AD29" s="33">
        <f t="shared" si="6"/>
        <v>1.7999999999999998</v>
      </c>
      <c r="AE29" s="33">
        <f t="shared" si="7"/>
        <v>0</v>
      </c>
      <c r="AF29" s="33">
        <f t="shared" si="8"/>
        <v>0.67200000000000004</v>
      </c>
      <c r="AG29" s="34">
        <f t="shared" si="9"/>
        <v>374.15759999999995</v>
      </c>
      <c r="AH29" s="40">
        <f t="shared" si="10"/>
        <v>60.9</v>
      </c>
      <c r="AI29" s="40">
        <f t="shared" si="11"/>
        <v>12</v>
      </c>
      <c r="AJ29" s="40">
        <f t="shared" si="12"/>
        <v>11</v>
      </c>
      <c r="AK29" s="40">
        <f t="shared" si="13"/>
        <v>11</v>
      </c>
      <c r="AL29" s="40">
        <f t="shared" si="14"/>
        <v>14</v>
      </c>
    </row>
    <row r="30" spans="1:39" s="24" customFormat="1" x14ac:dyDescent="0.25">
      <c r="A30" s="43">
        <v>28</v>
      </c>
      <c r="B30" s="24" t="s">
        <v>190</v>
      </c>
      <c r="C30" s="24" t="s">
        <v>191</v>
      </c>
      <c r="D30" s="24" t="s">
        <v>17</v>
      </c>
      <c r="E30" s="31">
        <v>2</v>
      </c>
      <c r="F30" s="24" t="s">
        <v>24</v>
      </c>
      <c r="G30" s="24">
        <f>VLOOKUP(F30,Lookup!$A$8:$B$12,2,0)</f>
        <v>4</v>
      </c>
      <c r="H30" s="24" t="s">
        <v>192</v>
      </c>
      <c r="I30" s="24">
        <v>2</v>
      </c>
      <c r="J30" s="24">
        <f>VLOOKUP(I30,Lookup!$A$15:$B$18,2,0)</f>
        <v>3</v>
      </c>
      <c r="K30" s="24" t="s">
        <v>35</v>
      </c>
      <c r="L30" s="24">
        <f>VLOOKUP(K30,Lookup!$D$21:$E$24,2,0)</f>
        <v>5</v>
      </c>
      <c r="M30" s="31">
        <f t="shared" si="0"/>
        <v>10</v>
      </c>
      <c r="N30" s="24">
        <f>VLOOKUP(K30,Lookup!$A$21:$B$24,2,0)</f>
        <v>3</v>
      </c>
      <c r="O30" s="24" t="s">
        <v>193</v>
      </c>
      <c r="P30" s="24" t="s">
        <v>44</v>
      </c>
      <c r="Q30" s="24">
        <f>VLOOKUP(P30,Lookup!$A$27:$B$31,2,0)</f>
        <v>2</v>
      </c>
      <c r="R30" s="31">
        <f t="shared" si="1"/>
        <v>12</v>
      </c>
      <c r="S30" s="31">
        <f>444*0.1</f>
        <v>44.400000000000006</v>
      </c>
      <c r="T30" s="31">
        <v>343</v>
      </c>
      <c r="U30" s="31">
        <f t="shared" si="2"/>
        <v>387.4</v>
      </c>
      <c r="V30" s="31">
        <f t="shared" si="3"/>
        <v>77.47999999999999</v>
      </c>
      <c r="W30" s="31">
        <v>25</v>
      </c>
      <c r="X30" s="44" t="s">
        <v>194</v>
      </c>
      <c r="Z30" s="35">
        <f t="shared" si="16"/>
        <v>10</v>
      </c>
      <c r="AA30" s="35">
        <v>0</v>
      </c>
      <c r="AB30" s="35">
        <f t="shared" si="4"/>
        <v>3</v>
      </c>
      <c r="AC30" s="35">
        <f t="shared" si="5"/>
        <v>0</v>
      </c>
      <c r="AD30" s="35">
        <f t="shared" si="6"/>
        <v>3</v>
      </c>
      <c r="AE30" s="35">
        <f t="shared" si="7"/>
        <v>0</v>
      </c>
      <c r="AF30" s="35">
        <f t="shared" si="8"/>
        <v>1.1200000000000001</v>
      </c>
      <c r="AG30" s="38">
        <f t="shared" si="9"/>
        <v>391.27759999999995</v>
      </c>
      <c r="AH30" s="45">
        <f t="shared" si="10"/>
        <v>62.9</v>
      </c>
      <c r="AI30" s="40">
        <f t="shared" si="11"/>
        <v>8</v>
      </c>
      <c r="AJ30" s="40">
        <f t="shared" si="12"/>
        <v>9</v>
      </c>
      <c r="AK30" s="40">
        <f t="shared" si="13"/>
        <v>9</v>
      </c>
      <c r="AL30" s="40">
        <f t="shared" si="14"/>
        <v>10</v>
      </c>
    </row>
    <row r="31" spans="1:39" x14ac:dyDescent="0.25">
      <c r="A31" s="29">
        <v>31</v>
      </c>
      <c r="B31" s="5" t="s">
        <v>190</v>
      </c>
      <c r="C31" s="5" t="s">
        <v>195</v>
      </c>
      <c r="D31" s="5" t="s">
        <v>17</v>
      </c>
      <c r="E31" s="6">
        <v>1.5</v>
      </c>
      <c r="F31" s="5" t="s">
        <v>20</v>
      </c>
      <c r="G31" s="5">
        <f>VLOOKUP(F31,Lookup!$A$8:$B$12,2,0)</f>
        <v>5</v>
      </c>
      <c r="H31" s="5" t="s">
        <v>196</v>
      </c>
      <c r="I31" s="5">
        <v>3</v>
      </c>
      <c r="J31" s="5">
        <f>VLOOKUP(I31,Lookup!$A$15:$B$18,2,0)</f>
        <v>5</v>
      </c>
      <c r="K31" s="5" t="s">
        <v>35</v>
      </c>
      <c r="L31" s="5">
        <f>VLOOKUP(K31,Lookup!$D$21:$E$24,2,0)</f>
        <v>5</v>
      </c>
      <c r="M31" s="6">
        <f t="shared" si="0"/>
        <v>7.5</v>
      </c>
      <c r="N31" s="5">
        <f>VLOOKUP(K31,Lookup!$A$21:$B$24,2,0)</f>
        <v>3</v>
      </c>
      <c r="O31" s="5" t="s">
        <v>197</v>
      </c>
      <c r="P31" s="5" t="s">
        <v>43</v>
      </c>
      <c r="Q31" s="5">
        <f>VLOOKUP(P31,Lookup!$A$27:$B$31,2,0)</f>
        <v>3</v>
      </c>
      <c r="R31" s="6">
        <f t="shared" si="1"/>
        <v>16</v>
      </c>
      <c r="S31" s="6">
        <f>444*0.1</f>
        <v>44.400000000000006</v>
      </c>
      <c r="T31" s="6">
        <v>366</v>
      </c>
      <c r="U31" s="6">
        <f t="shared" si="2"/>
        <v>410.4</v>
      </c>
      <c r="V31" s="6">
        <f t="shared" si="3"/>
        <v>82.079999999999984</v>
      </c>
      <c r="W31" s="6">
        <v>30</v>
      </c>
      <c r="X31" s="18" t="s">
        <v>194</v>
      </c>
      <c r="Z31" s="33">
        <f t="shared" si="16"/>
        <v>7.5</v>
      </c>
      <c r="AA31" s="33">
        <v>0</v>
      </c>
      <c r="AB31" s="33">
        <f t="shared" si="4"/>
        <v>2.25</v>
      </c>
      <c r="AC31" s="33">
        <f t="shared" si="5"/>
        <v>0</v>
      </c>
      <c r="AD31" s="33">
        <f t="shared" si="6"/>
        <v>2.25</v>
      </c>
      <c r="AE31" s="33">
        <f t="shared" si="7"/>
        <v>0</v>
      </c>
      <c r="AF31" s="33">
        <f t="shared" si="8"/>
        <v>0.84000000000000008</v>
      </c>
      <c r="AG31" s="34">
        <f t="shared" si="9"/>
        <v>404.11759999999992</v>
      </c>
      <c r="AH31" s="40">
        <f t="shared" si="10"/>
        <v>64.400000000000006</v>
      </c>
      <c r="AI31" s="40">
        <f t="shared" si="11"/>
        <v>11</v>
      </c>
      <c r="AJ31" s="40">
        <f t="shared" si="12"/>
        <v>11</v>
      </c>
      <c r="AK31" s="40">
        <f t="shared" si="13"/>
        <v>13</v>
      </c>
      <c r="AL31" s="40">
        <f t="shared" si="14"/>
        <v>13</v>
      </c>
    </row>
    <row r="32" spans="1:39" x14ac:dyDescent="0.25">
      <c r="A32" s="29">
        <v>32</v>
      </c>
      <c r="B32" s="5" t="s">
        <v>190</v>
      </c>
      <c r="C32" s="5" t="s">
        <v>198</v>
      </c>
      <c r="D32" s="5" t="s">
        <v>17</v>
      </c>
      <c r="E32" s="6">
        <v>2</v>
      </c>
      <c r="F32" s="5" t="s">
        <v>24</v>
      </c>
      <c r="G32" s="5">
        <f>VLOOKUP(F32,Lookup!$A$8:$B$12,2,0)</f>
        <v>4</v>
      </c>
      <c r="H32" s="5" t="s">
        <v>199</v>
      </c>
      <c r="I32" s="5">
        <v>2</v>
      </c>
      <c r="J32" s="5">
        <f>VLOOKUP(I32,Lookup!$A$15:$B$18,2,0)</f>
        <v>3</v>
      </c>
      <c r="K32" s="5" t="s">
        <v>35</v>
      </c>
      <c r="L32" s="5">
        <f>VLOOKUP(K32,Lookup!$D$21:$E$24,2,0)</f>
        <v>5</v>
      </c>
      <c r="M32" s="6">
        <f t="shared" si="0"/>
        <v>10</v>
      </c>
      <c r="N32" s="5">
        <f>VLOOKUP(K32,Lookup!$A$21:$B$24,2,0)</f>
        <v>3</v>
      </c>
      <c r="O32" s="5" t="s">
        <v>200</v>
      </c>
      <c r="P32" s="5" t="s">
        <v>43</v>
      </c>
      <c r="Q32" s="5">
        <f>VLOOKUP(P32,Lookup!$A$27:$B$31,2,0)</f>
        <v>3</v>
      </c>
      <c r="R32" s="6">
        <f t="shared" si="1"/>
        <v>13</v>
      </c>
      <c r="S32" s="6">
        <f>444*0.1</f>
        <v>44.400000000000006</v>
      </c>
      <c r="T32" s="6">
        <v>523</v>
      </c>
      <c r="U32" s="6">
        <f t="shared" si="2"/>
        <v>567.4</v>
      </c>
      <c r="V32" s="6">
        <f t="shared" si="3"/>
        <v>113.47999999999999</v>
      </c>
      <c r="W32" s="6">
        <v>30</v>
      </c>
      <c r="X32" s="18" t="s">
        <v>201</v>
      </c>
      <c r="Z32" s="33">
        <f t="shared" si="16"/>
        <v>10</v>
      </c>
      <c r="AA32" s="33">
        <v>0</v>
      </c>
      <c r="AB32" s="33">
        <f t="shared" si="4"/>
        <v>3</v>
      </c>
      <c r="AC32" s="33">
        <f t="shared" si="5"/>
        <v>0</v>
      </c>
      <c r="AD32" s="33">
        <f t="shared" si="6"/>
        <v>3</v>
      </c>
      <c r="AE32" s="33">
        <f t="shared" si="7"/>
        <v>0</v>
      </c>
      <c r="AF32" s="33">
        <f t="shared" si="8"/>
        <v>1.1200000000000001</v>
      </c>
      <c r="AG32" s="34">
        <f t="shared" si="9"/>
        <v>421.23759999999993</v>
      </c>
      <c r="AH32" s="40">
        <f t="shared" si="10"/>
        <v>66.400000000000006</v>
      </c>
      <c r="AI32" s="40">
        <f t="shared" si="11"/>
        <v>9</v>
      </c>
      <c r="AJ32" s="40">
        <f t="shared" si="12"/>
        <v>10</v>
      </c>
      <c r="AK32" s="40">
        <f t="shared" si="13"/>
        <v>10</v>
      </c>
      <c r="AL32" s="40">
        <f t="shared" si="14"/>
        <v>10</v>
      </c>
    </row>
    <row r="33" spans="1:38" x14ac:dyDescent="0.25">
      <c r="A33" s="5">
        <v>33</v>
      </c>
      <c r="B33" s="5" t="s">
        <v>202</v>
      </c>
      <c r="C33" s="5" t="s">
        <v>203</v>
      </c>
      <c r="D33" s="5" t="s">
        <v>18</v>
      </c>
      <c r="E33" s="6">
        <v>0.5</v>
      </c>
      <c r="F33" s="5" t="s">
        <v>20</v>
      </c>
      <c r="G33" s="5">
        <f>VLOOKUP(F33,Lookup!$A$8:$B$12,2,0)</f>
        <v>5</v>
      </c>
      <c r="H33" s="5" t="s">
        <v>204</v>
      </c>
      <c r="I33" s="5">
        <v>2</v>
      </c>
      <c r="J33" s="5">
        <f>VLOOKUP(I33,Lookup!$A$15:$B$18,2,0)</f>
        <v>3</v>
      </c>
      <c r="K33" s="5" t="s">
        <v>37</v>
      </c>
      <c r="L33" s="5">
        <f>VLOOKUP(K33,Lookup!$D$21:$E$24,2,0)</f>
        <v>2</v>
      </c>
      <c r="M33" s="6">
        <f t="shared" si="0"/>
        <v>1</v>
      </c>
      <c r="N33" s="5">
        <f>VLOOKUP(K33,Lookup!$A$21:$B$24,2,0)</f>
        <v>5</v>
      </c>
      <c r="O33" s="5" t="s">
        <v>205</v>
      </c>
      <c r="P33" s="5" t="s">
        <v>43</v>
      </c>
      <c r="Q33" s="5">
        <f>VLOOKUP(P33,Lookup!$A$27:$B$31,2,0)</f>
        <v>3</v>
      </c>
      <c r="R33" s="6">
        <f t="shared" si="1"/>
        <v>16</v>
      </c>
      <c r="S33" s="6">
        <f>1222*0.1</f>
        <v>122.2</v>
      </c>
      <c r="U33" s="6">
        <f t="shared" si="2"/>
        <v>122.2</v>
      </c>
      <c r="V33" s="6">
        <f t="shared" si="3"/>
        <v>61.1</v>
      </c>
      <c r="W33" s="6">
        <v>30</v>
      </c>
      <c r="X33" s="18" t="s">
        <v>206</v>
      </c>
      <c r="Z33" s="33">
        <f t="shared" si="16"/>
        <v>1</v>
      </c>
      <c r="AA33" s="33">
        <v>13</v>
      </c>
      <c r="AB33" s="33">
        <f t="shared" si="4"/>
        <v>0.3</v>
      </c>
      <c r="AC33" s="33">
        <f t="shared" si="5"/>
        <v>3.9</v>
      </c>
      <c r="AD33" s="33">
        <f t="shared" si="6"/>
        <v>0.3</v>
      </c>
      <c r="AE33" s="33">
        <f t="shared" si="7"/>
        <v>3.9</v>
      </c>
      <c r="AF33" s="33">
        <f t="shared" si="8"/>
        <v>1.5680000000000001</v>
      </c>
      <c r="AG33" s="34">
        <f t="shared" si="9"/>
        <v>445.20559999999995</v>
      </c>
      <c r="AH33" s="40">
        <f t="shared" si="10"/>
        <v>66.900000000000006</v>
      </c>
      <c r="AI33" s="40">
        <f t="shared" si="11"/>
        <v>11</v>
      </c>
      <c r="AJ33" s="40">
        <f t="shared" si="12"/>
        <v>13</v>
      </c>
      <c r="AK33" s="40">
        <f t="shared" si="13"/>
        <v>11</v>
      </c>
      <c r="AL33" s="40">
        <f t="shared" si="14"/>
        <v>13</v>
      </c>
    </row>
    <row r="34" spans="1:38" x14ac:dyDescent="0.25">
      <c r="A34" s="29">
        <v>34</v>
      </c>
      <c r="B34" s="5" t="s">
        <v>202</v>
      </c>
      <c r="C34" s="5" t="s">
        <v>207</v>
      </c>
      <c r="D34" s="5" t="s">
        <v>18</v>
      </c>
      <c r="E34" s="6">
        <v>1.6</v>
      </c>
      <c r="F34" s="5" t="s">
        <v>24</v>
      </c>
      <c r="G34" s="5">
        <f>VLOOKUP(F34,Lookup!$A$8:$B$12,2,0)</f>
        <v>4</v>
      </c>
      <c r="H34" s="5" t="s">
        <v>208</v>
      </c>
      <c r="I34" s="5">
        <v>2</v>
      </c>
      <c r="J34" s="5">
        <f>VLOOKUP(I34,Lookup!$A$15:$B$18,2,0)</f>
        <v>3</v>
      </c>
      <c r="K34" s="5" t="s">
        <v>37</v>
      </c>
      <c r="L34" s="5">
        <f>VLOOKUP(K34,Lookup!$D$21:$E$24,2,0)</f>
        <v>2</v>
      </c>
      <c r="M34" s="6">
        <f t="shared" si="0"/>
        <v>3.2</v>
      </c>
      <c r="N34" s="5">
        <f>VLOOKUP(K34,Lookup!$A$21:$B$24,2,0)</f>
        <v>5</v>
      </c>
      <c r="O34" s="5" t="s">
        <v>116</v>
      </c>
      <c r="P34" s="5" t="s">
        <v>43</v>
      </c>
      <c r="Q34" s="5">
        <f>VLOOKUP(P34,Lookup!$A$27:$B$31,2,0)</f>
        <v>3</v>
      </c>
      <c r="R34" s="6">
        <f t="shared" si="1"/>
        <v>15</v>
      </c>
      <c r="S34" s="6">
        <f>1222*0.1</f>
        <v>122.2</v>
      </c>
      <c r="U34" s="6">
        <f t="shared" si="2"/>
        <v>122.2</v>
      </c>
      <c r="V34" s="6">
        <f t="shared" si="3"/>
        <v>61.1</v>
      </c>
      <c r="W34" s="6">
        <v>30</v>
      </c>
      <c r="X34" s="18" t="s">
        <v>206</v>
      </c>
      <c r="Z34" s="33">
        <f t="shared" si="16"/>
        <v>3.2</v>
      </c>
      <c r="AA34" s="33">
        <v>0</v>
      </c>
      <c r="AB34" s="33">
        <f t="shared" si="4"/>
        <v>0.96</v>
      </c>
      <c r="AC34" s="33">
        <f t="shared" si="5"/>
        <v>0</v>
      </c>
      <c r="AD34" s="33">
        <f t="shared" si="6"/>
        <v>0.96</v>
      </c>
      <c r="AE34" s="33">
        <f t="shared" si="7"/>
        <v>0</v>
      </c>
      <c r="AF34" s="33">
        <f t="shared" si="8"/>
        <v>0.35840000000000005</v>
      </c>
      <c r="AG34" s="34">
        <f t="shared" si="9"/>
        <v>450.68399999999997</v>
      </c>
      <c r="AH34" s="40">
        <f t="shared" si="10"/>
        <v>68.5</v>
      </c>
      <c r="AI34" s="40">
        <f t="shared" si="11"/>
        <v>11</v>
      </c>
      <c r="AJ34" s="40">
        <f t="shared" si="12"/>
        <v>12</v>
      </c>
      <c r="AK34" s="40">
        <f t="shared" si="13"/>
        <v>10</v>
      </c>
      <c r="AL34" s="40">
        <f t="shared" si="14"/>
        <v>12</v>
      </c>
    </row>
    <row r="35" spans="1:38" x14ac:dyDescent="0.25">
      <c r="A35" s="29">
        <v>35</v>
      </c>
      <c r="B35" s="5" t="s">
        <v>202</v>
      </c>
      <c r="C35" s="5" t="s">
        <v>209</v>
      </c>
      <c r="D35" s="5" t="s">
        <v>18</v>
      </c>
      <c r="E35" s="6">
        <v>1.5</v>
      </c>
      <c r="F35" s="5" t="s">
        <v>20</v>
      </c>
      <c r="G35" s="5">
        <f>VLOOKUP(F35,Lookup!$A$8:$B$12,2,0)</f>
        <v>5</v>
      </c>
      <c r="H35" s="5" t="s">
        <v>210</v>
      </c>
      <c r="I35" s="5">
        <v>1</v>
      </c>
      <c r="J35" s="5">
        <f>VLOOKUP(I35,Lookup!$A$15:$B$18,2,0)</f>
        <v>1</v>
      </c>
      <c r="K35" s="5" t="s">
        <v>37</v>
      </c>
      <c r="L35" s="5">
        <f>VLOOKUP(K35,Lookup!$D$21:$E$24,2,0)</f>
        <v>2</v>
      </c>
      <c r="M35" s="6">
        <f t="shared" ref="M35:M66" si="17">E35*L35</f>
        <v>3</v>
      </c>
      <c r="N35" s="5">
        <f>VLOOKUP(K35,Lookup!$A$21:$B$24,2,0)</f>
        <v>5</v>
      </c>
      <c r="O35" s="5" t="s">
        <v>211</v>
      </c>
      <c r="P35" s="5" t="s">
        <v>43</v>
      </c>
      <c r="Q35" s="5">
        <f>VLOOKUP(P35,Lookup!$A$27:$B$31,2,0)</f>
        <v>3</v>
      </c>
      <c r="R35" s="6">
        <f t="shared" ref="R35:R66" si="18">G35+J35+N35+Q35</f>
        <v>14</v>
      </c>
      <c r="S35" s="6">
        <f>1222*0.1</f>
        <v>122.2</v>
      </c>
      <c r="U35" s="6">
        <f t="shared" si="2"/>
        <v>122.2</v>
      </c>
      <c r="V35" s="6">
        <f t="shared" ref="V35:V66" si="19">(IF(ISBLANK(U35)=TRUE,20,U35)*E35)/M35</f>
        <v>61.1</v>
      </c>
      <c r="W35" s="6">
        <v>30</v>
      </c>
      <c r="X35" s="18" t="s">
        <v>206</v>
      </c>
      <c r="Z35" s="33">
        <f t="shared" si="16"/>
        <v>3</v>
      </c>
      <c r="AA35" s="33">
        <v>0</v>
      </c>
      <c r="AB35" s="33">
        <f t="shared" ref="AB35:AB66" si="20">Z35*0.3</f>
        <v>0.89999999999999991</v>
      </c>
      <c r="AC35" s="33">
        <f t="shared" ref="AC35:AC66" si="21">AA35*0.3</f>
        <v>0</v>
      </c>
      <c r="AD35" s="33">
        <f t="shared" ref="AD35:AD66" si="22">Z35*0.3</f>
        <v>0.89999999999999991</v>
      </c>
      <c r="AE35" s="33">
        <f t="shared" ref="AE35:AE66" si="23">AA35*0.3</f>
        <v>0</v>
      </c>
      <c r="AF35" s="33">
        <f t="shared" ref="AF35:AF66" si="24">SUM(Z35:AE35)*0.07</f>
        <v>0.33600000000000002</v>
      </c>
      <c r="AG35" s="34">
        <f t="shared" ref="AG35:AG66" si="25">SUM(Z35:AF35)+AG34</f>
        <v>455.82</v>
      </c>
      <c r="AH35" s="40">
        <f t="shared" ref="AH35:AH66" si="26">AH34+E35</f>
        <v>70</v>
      </c>
      <c r="AI35" s="40">
        <f t="shared" ref="AI35:AI66" si="27">R35-G35</f>
        <v>9</v>
      </c>
      <c r="AJ35" s="40">
        <f t="shared" ref="AJ35:AJ66" si="28">R35-J35</f>
        <v>13</v>
      </c>
      <c r="AK35" s="40">
        <f t="shared" ref="AK35:AK66" si="29">R35-N35</f>
        <v>9</v>
      </c>
      <c r="AL35" s="40">
        <f t="shared" ref="AL35:AL66" si="30">R35-Q35</f>
        <v>11</v>
      </c>
    </row>
    <row r="36" spans="1:38" ht="18" customHeight="1" x14ac:dyDescent="0.25">
      <c r="A36" s="29">
        <v>103</v>
      </c>
      <c r="B36" s="5" t="s">
        <v>212</v>
      </c>
      <c r="C36" s="5" t="s">
        <v>213</v>
      </c>
      <c r="D36" s="5" t="s">
        <v>15</v>
      </c>
      <c r="E36" s="6">
        <v>2.6</v>
      </c>
      <c r="F36" s="5" t="s">
        <v>20</v>
      </c>
      <c r="G36" s="5">
        <f>VLOOKUP(F36,Lookup!$A$8:$B$12,2,0)</f>
        <v>5</v>
      </c>
      <c r="H36" s="5" t="s">
        <v>214</v>
      </c>
      <c r="I36" s="5">
        <v>2</v>
      </c>
      <c r="J36" s="5">
        <f>VLOOKUP(I36,Lookup!$A$15:$B$18,2,0)</f>
        <v>3</v>
      </c>
      <c r="K36" s="5" t="s">
        <v>35</v>
      </c>
      <c r="L36" s="5">
        <f>VLOOKUP(K36,Lookup!$D$21:$E$24,2,0)</f>
        <v>5</v>
      </c>
      <c r="M36" s="6">
        <f t="shared" si="17"/>
        <v>13</v>
      </c>
      <c r="N36" s="5">
        <f>VLOOKUP(K36,Lookup!$A$21:$B$24,2,0)</f>
        <v>3</v>
      </c>
      <c r="O36" s="5" t="s">
        <v>215</v>
      </c>
      <c r="P36" s="5" t="s">
        <v>44</v>
      </c>
      <c r="Q36" s="5">
        <f>VLOOKUP(P36,Lookup!$A$27:$B$31,2,0)</f>
        <v>2</v>
      </c>
      <c r="R36" s="6">
        <f t="shared" si="18"/>
        <v>13</v>
      </c>
      <c r="T36" s="6">
        <v>294</v>
      </c>
      <c r="U36" s="6">
        <f t="shared" si="2"/>
        <v>294</v>
      </c>
      <c r="V36" s="6">
        <f t="shared" si="19"/>
        <v>58.8</v>
      </c>
      <c r="W36" s="6">
        <v>30</v>
      </c>
      <c r="X36" s="18" t="s">
        <v>216</v>
      </c>
      <c r="Y36" s="5" t="s">
        <v>217</v>
      </c>
      <c r="Z36" s="33">
        <f t="shared" si="16"/>
        <v>13</v>
      </c>
      <c r="AA36" s="33">
        <v>0</v>
      </c>
      <c r="AB36" s="33">
        <f t="shared" si="20"/>
        <v>3.9</v>
      </c>
      <c r="AC36" s="33">
        <f t="shared" si="21"/>
        <v>0</v>
      </c>
      <c r="AD36" s="33">
        <f t="shared" si="22"/>
        <v>3.9</v>
      </c>
      <c r="AE36" s="33">
        <f t="shared" si="23"/>
        <v>0</v>
      </c>
      <c r="AF36" s="33">
        <f t="shared" si="24"/>
        <v>1.456</v>
      </c>
      <c r="AG36" s="34">
        <f t="shared" si="25"/>
        <v>478.07599999999996</v>
      </c>
      <c r="AH36" s="40">
        <f t="shared" si="26"/>
        <v>72.599999999999994</v>
      </c>
      <c r="AI36" s="40">
        <f t="shared" si="27"/>
        <v>8</v>
      </c>
      <c r="AJ36" s="40">
        <f t="shared" si="28"/>
        <v>10</v>
      </c>
      <c r="AK36" s="40">
        <f t="shared" si="29"/>
        <v>10</v>
      </c>
      <c r="AL36" s="40">
        <f t="shared" si="30"/>
        <v>11</v>
      </c>
    </row>
    <row r="37" spans="1:38" x14ac:dyDescent="0.25">
      <c r="A37" s="29">
        <v>104</v>
      </c>
      <c r="B37" s="5" t="s">
        <v>212</v>
      </c>
      <c r="C37" s="5" t="s">
        <v>218</v>
      </c>
      <c r="D37" s="5" t="s">
        <v>17</v>
      </c>
      <c r="E37" s="6">
        <v>0.9</v>
      </c>
      <c r="F37" s="5" t="s">
        <v>24</v>
      </c>
      <c r="G37" s="5">
        <f>VLOOKUP(F37,Lookup!$A$8:$B$12,2,0)</f>
        <v>4</v>
      </c>
      <c r="H37" s="5" t="s">
        <v>219</v>
      </c>
      <c r="I37" s="5">
        <v>1</v>
      </c>
      <c r="J37" s="5">
        <f>VLOOKUP(I37,Lookup!$A$15:$B$18,2,0)</f>
        <v>1</v>
      </c>
      <c r="K37" s="5" t="s">
        <v>37</v>
      </c>
      <c r="L37" s="5">
        <f>VLOOKUP(K37,Lookup!$D$21:$E$24,2,0)</f>
        <v>2</v>
      </c>
      <c r="M37" s="6">
        <f t="shared" si="17"/>
        <v>1.8</v>
      </c>
      <c r="N37" s="5">
        <f>VLOOKUP(K37,Lookup!$A$21:$B$24,2,0)</f>
        <v>5</v>
      </c>
      <c r="O37" s="5" t="s">
        <v>220</v>
      </c>
      <c r="P37" s="5" t="s">
        <v>43</v>
      </c>
      <c r="Q37" s="5">
        <f>VLOOKUP(P37,Lookup!$A$27:$B$31,2,0)</f>
        <v>3</v>
      </c>
      <c r="R37" s="6">
        <f t="shared" si="18"/>
        <v>13</v>
      </c>
      <c r="T37" s="6">
        <v>66</v>
      </c>
      <c r="U37" s="6">
        <f t="shared" si="2"/>
        <v>66</v>
      </c>
      <c r="V37" s="6">
        <f t="shared" si="19"/>
        <v>33</v>
      </c>
      <c r="W37" s="6">
        <v>30</v>
      </c>
      <c r="X37" s="18" t="s">
        <v>216</v>
      </c>
      <c r="Z37" s="33">
        <f t="shared" si="16"/>
        <v>1.8</v>
      </c>
      <c r="AA37" s="33">
        <v>0</v>
      </c>
      <c r="AB37" s="33">
        <f t="shared" si="20"/>
        <v>0.54</v>
      </c>
      <c r="AC37" s="33">
        <f t="shared" si="21"/>
        <v>0</v>
      </c>
      <c r="AD37" s="33">
        <f t="shared" si="22"/>
        <v>0.54</v>
      </c>
      <c r="AE37" s="33">
        <f t="shared" si="23"/>
        <v>0</v>
      </c>
      <c r="AF37" s="33">
        <f t="shared" si="24"/>
        <v>0.2016</v>
      </c>
      <c r="AG37" s="34">
        <f t="shared" si="25"/>
        <v>481.15759999999995</v>
      </c>
      <c r="AH37" s="40">
        <f t="shared" si="26"/>
        <v>73.5</v>
      </c>
      <c r="AI37" s="40">
        <f t="shared" si="27"/>
        <v>9</v>
      </c>
      <c r="AJ37" s="40">
        <f t="shared" si="28"/>
        <v>12</v>
      </c>
      <c r="AK37" s="40">
        <f t="shared" si="29"/>
        <v>8</v>
      </c>
      <c r="AL37" s="40">
        <f t="shared" si="30"/>
        <v>10</v>
      </c>
    </row>
    <row r="38" spans="1:38" x14ac:dyDescent="0.25">
      <c r="A38" s="29">
        <v>2</v>
      </c>
      <c r="B38" s="29" t="s">
        <v>221</v>
      </c>
      <c r="C38" s="5" t="s">
        <v>222</v>
      </c>
      <c r="D38" s="5" t="s">
        <v>17</v>
      </c>
      <c r="E38" s="6">
        <v>0</v>
      </c>
      <c r="F38" s="5" t="s">
        <v>20</v>
      </c>
      <c r="G38" s="5">
        <f>VLOOKUP(F38,Lookup!$A$8:$B$12,2,0)</f>
        <v>5</v>
      </c>
      <c r="H38" s="5" t="s">
        <v>223</v>
      </c>
      <c r="I38" s="5">
        <v>3</v>
      </c>
      <c r="J38" s="5">
        <f>VLOOKUP(I38,Lookup!$A$15:$B$18,2,0)</f>
        <v>5</v>
      </c>
      <c r="K38" s="5" t="s">
        <v>37</v>
      </c>
      <c r="L38" s="5">
        <f>VLOOKUP(K38,Lookup!$D$21:$E$24,2,0)</f>
        <v>2</v>
      </c>
      <c r="M38" s="6">
        <f t="shared" si="17"/>
        <v>0</v>
      </c>
      <c r="N38" s="5">
        <f>VLOOKUP(K38,Lookup!$A$21:$B$24,2,0)</f>
        <v>5</v>
      </c>
      <c r="O38" s="5" t="s">
        <v>224</v>
      </c>
      <c r="P38" s="5" t="s">
        <v>44</v>
      </c>
      <c r="Q38" s="5">
        <f>VLOOKUP(P38,Lookup!$A$27:$B$31,2,0)</f>
        <v>2</v>
      </c>
      <c r="R38" s="6">
        <f t="shared" si="18"/>
        <v>17</v>
      </c>
      <c r="V38" s="6" t="e">
        <f t="shared" si="19"/>
        <v>#DIV/0!</v>
      </c>
      <c r="W38" s="6">
        <v>35</v>
      </c>
      <c r="X38" s="18" t="s">
        <v>225</v>
      </c>
      <c r="Y38" s="42"/>
      <c r="Z38" s="33">
        <v>0</v>
      </c>
      <c r="AA38" s="33">
        <v>0</v>
      </c>
      <c r="AB38" s="33">
        <f t="shared" si="20"/>
        <v>0</v>
      </c>
      <c r="AC38" s="33">
        <f t="shared" si="21"/>
        <v>0</v>
      </c>
      <c r="AD38" s="33">
        <f t="shared" si="22"/>
        <v>0</v>
      </c>
      <c r="AE38" s="33">
        <f t="shared" si="23"/>
        <v>0</v>
      </c>
      <c r="AF38" s="33">
        <f t="shared" si="24"/>
        <v>0</v>
      </c>
      <c r="AG38" s="34">
        <f t="shared" si="25"/>
        <v>481.15759999999995</v>
      </c>
      <c r="AH38" s="40">
        <f t="shared" si="26"/>
        <v>73.5</v>
      </c>
      <c r="AI38" s="40">
        <f t="shared" si="27"/>
        <v>12</v>
      </c>
      <c r="AJ38" s="40">
        <f t="shared" si="28"/>
        <v>12</v>
      </c>
      <c r="AK38" s="40">
        <f t="shared" si="29"/>
        <v>12</v>
      </c>
      <c r="AL38" s="40">
        <f t="shared" si="30"/>
        <v>15</v>
      </c>
    </row>
    <row r="39" spans="1:38" x14ac:dyDescent="0.25">
      <c r="A39" s="5">
        <v>48</v>
      </c>
      <c r="B39" s="5" t="s">
        <v>124</v>
      </c>
      <c r="C39" s="5" t="s">
        <v>226</v>
      </c>
      <c r="D39" s="5" t="s">
        <v>17</v>
      </c>
      <c r="E39" s="6">
        <v>2.5</v>
      </c>
      <c r="F39" s="5" t="s">
        <v>22</v>
      </c>
      <c r="G39" s="5">
        <f>VLOOKUP(F39,Lookup!$A$8:$B$12,2,0)</f>
        <v>3</v>
      </c>
      <c r="H39" s="5" t="s">
        <v>227</v>
      </c>
      <c r="I39" s="5">
        <v>3</v>
      </c>
      <c r="J39" s="5">
        <f>VLOOKUP(I39,Lookup!$A$15:$B$18,2,0)</f>
        <v>5</v>
      </c>
      <c r="K39" s="5" t="s">
        <v>37</v>
      </c>
      <c r="L39" s="5">
        <f>VLOOKUP(K39,Lookup!$D$21:$E$24,2,0)</f>
        <v>2</v>
      </c>
      <c r="M39" s="6">
        <f t="shared" si="17"/>
        <v>5</v>
      </c>
      <c r="N39" s="5">
        <f>VLOOKUP(K39,Lookup!$A$21:$B$24,2,0)</f>
        <v>5</v>
      </c>
      <c r="O39" s="5" t="s">
        <v>228</v>
      </c>
      <c r="P39" s="5" t="s">
        <v>43</v>
      </c>
      <c r="Q39" s="5">
        <f>VLOOKUP(P39,Lookup!$A$27:$B$31,2,0)</f>
        <v>3</v>
      </c>
      <c r="R39" s="6">
        <f t="shared" si="18"/>
        <v>16</v>
      </c>
      <c r="T39" s="6">
        <v>251</v>
      </c>
      <c r="U39" s="6">
        <f t="shared" ref="U39:U84" si="31">T39+S39</f>
        <v>251</v>
      </c>
      <c r="V39" s="6">
        <f t="shared" si="19"/>
        <v>125.5</v>
      </c>
      <c r="W39" s="6">
        <v>35</v>
      </c>
      <c r="X39" s="18" t="s">
        <v>229</v>
      </c>
      <c r="Y39" s="5" t="s">
        <v>128</v>
      </c>
      <c r="Z39" s="33">
        <f>M39</f>
        <v>5</v>
      </c>
      <c r="AA39" s="33">
        <v>0</v>
      </c>
      <c r="AB39" s="33">
        <f t="shared" si="20"/>
        <v>1.5</v>
      </c>
      <c r="AC39" s="33">
        <f t="shared" si="21"/>
        <v>0</v>
      </c>
      <c r="AD39" s="33">
        <f t="shared" si="22"/>
        <v>1.5</v>
      </c>
      <c r="AE39" s="33">
        <f t="shared" si="23"/>
        <v>0</v>
      </c>
      <c r="AF39" s="33">
        <f t="shared" si="24"/>
        <v>0.56000000000000005</v>
      </c>
      <c r="AG39" s="34">
        <f t="shared" si="25"/>
        <v>489.71759999999995</v>
      </c>
      <c r="AH39" s="40">
        <f t="shared" si="26"/>
        <v>76</v>
      </c>
      <c r="AI39" s="40">
        <f t="shared" si="27"/>
        <v>13</v>
      </c>
      <c r="AJ39" s="40">
        <f t="shared" si="28"/>
        <v>11</v>
      </c>
      <c r="AK39" s="40">
        <f t="shared" si="29"/>
        <v>11</v>
      </c>
      <c r="AL39" s="40">
        <f t="shared" si="30"/>
        <v>13</v>
      </c>
    </row>
    <row r="40" spans="1:38" x14ac:dyDescent="0.25">
      <c r="A40" s="29">
        <v>49</v>
      </c>
      <c r="B40" s="5" t="s">
        <v>124</v>
      </c>
      <c r="C40" s="5" t="s">
        <v>230</v>
      </c>
      <c r="D40" s="5" t="s">
        <v>17</v>
      </c>
      <c r="E40" s="6">
        <v>1.2</v>
      </c>
      <c r="F40" s="5" t="s">
        <v>20</v>
      </c>
      <c r="G40" s="5">
        <f>VLOOKUP(F40,Lookup!$A$8:$B$12,2,0)</f>
        <v>5</v>
      </c>
      <c r="H40" s="5" t="s">
        <v>231</v>
      </c>
      <c r="I40" s="5">
        <v>2</v>
      </c>
      <c r="J40" s="5">
        <f>VLOOKUP(I40,Lookup!$A$15:$B$18,2,0)</f>
        <v>3</v>
      </c>
      <c r="K40" s="5" t="s">
        <v>37</v>
      </c>
      <c r="L40" s="5">
        <f>VLOOKUP(K40,Lookup!$D$21:$E$24,2,0)</f>
        <v>2</v>
      </c>
      <c r="M40" s="6">
        <f t="shared" si="17"/>
        <v>2.4</v>
      </c>
      <c r="N40" s="5">
        <f>VLOOKUP(K40,Lookup!$A$21:$B$24,2,0)</f>
        <v>5</v>
      </c>
      <c r="O40" s="5" t="s">
        <v>232</v>
      </c>
      <c r="P40" s="5" t="s">
        <v>44</v>
      </c>
      <c r="Q40" s="5">
        <f>VLOOKUP(P40,Lookup!$A$27:$B$31,2,0)</f>
        <v>2</v>
      </c>
      <c r="R40" s="6">
        <f t="shared" si="18"/>
        <v>15</v>
      </c>
      <c r="T40" s="6">
        <v>310</v>
      </c>
      <c r="U40" s="6">
        <f t="shared" si="31"/>
        <v>310</v>
      </c>
      <c r="V40" s="6">
        <f t="shared" si="19"/>
        <v>155</v>
      </c>
      <c r="W40" s="6">
        <v>35</v>
      </c>
      <c r="X40" s="18" t="s">
        <v>233</v>
      </c>
      <c r="Y40" s="5" t="s">
        <v>234</v>
      </c>
      <c r="Z40" s="33">
        <f>M40</f>
        <v>2.4</v>
      </c>
      <c r="AA40" s="33">
        <v>0</v>
      </c>
      <c r="AB40" s="33">
        <f t="shared" si="20"/>
        <v>0.72</v>
      </c>
      <c r="AC40" s="33">
        <f t="shared" si="21"/>
        <v>0</v>
      </c>
      <c r="AD40" s="33">
        <f t="shared" si="22"/>
        <v>0.72</v>
      </c>
      <c r="AE40" s="33">
        <f t="shared" si="23"/>
        <v>0</v>
      </c>
      <c r="AF40" s="33">
        <f t="shared" si="24"/>
        <v>0.26880000000000004</v>
      </c>
      <c r="AG40" s="34">
        <f t="shared" si="25"/>
        <v>493.82639999999992</v>
      </c>
      <c r="AH40" s="40">
        <f t="shared" si="26"/>
        <v>77.2</v>
      </c>
      <c r="AI40" s="40">
        <f t="shared" si="27"/>
        <v>10</v>
      </c>
      <c r="AJ40" s="40">
        <f t="shared" si="28"/>
        <v>12</v>
      </c>
      <c r="AK40" s="40">
        <f t="shared" si="29"/>
        <v>10</v>
      </c>
      <c r="AL40" s="40">
        <f t="shared" si="30"/>
        <v>13</v>
      </c>
    </row>
    <row r="41" spans="1:38" x14ac:dyDescent="0.25">
      <c r="A41" s="29">
        <v>77</v>
      </c>
      <c r="B41" s="5" t="s">
        <v>235</v>
      </c>
      <c r="C41" s="5" t="s">
        <v>236</v>
      </c>
      <c r="D41" s="5" t="s">
        <v>17</v>
      </c>
      <c r="E41" s="6">
        <v>4.5</v>
      </c>
      <c r="F41" s="5" t="s">
        <v>24</v>
      </c>
      <c r="G41" s="5">
        <f>VLOOKUP(F41,Lookup!$A$8:$B$12,2,0)</f>
        <v>4</v>
      </c>
      <c r="H41" s="5" t="s">
        <v>156</v>
      </c>
      <c r="I41" s="5">
        <v>2</v>
      </c>
      <c r="J41" s="5">
        <f>VLOOKUP(I41,Lookup!$A$15:$B$18,2,0)</f>
        <v>3</v>
      </c>
      <c r="K41" s="5" t="s">
        <v>35</v>
      </c>
      <c r="L41" s="5">
        <f>VLOOKUP(K41,Lookup!$D$21:$E$24,2,0)</f>
        <v>5</v>
      </c>
      <c r="M41" s="6">
        <f t="shared" si="17"/>
        <v>22.5</v>
      </c>
      <c r="N41" s="5">
        <f>VLOOKUP(K41,Lookup!$A$21:$B$24,2,0)</f>
        <v>3</v>
      </c>
      <c r="O41" s="5" t="s">
        <v>237</v>
      </c>
      <c r="P41" s="5" t="s">
        <v>42</v>
      </c>
      <c r="Q41" s="5">
        <f>VLOOKUP(P41,Lookup!$A$27:$B$31,2,0)</f>
        <v>4</v>
      </c>
      <c r="R41" s="6">
        <f t="shared" si="18"/>
        <v>14</v>
      </c>
      <c r="S41" s="6">
        <f>876*0.1</f>
        <v>87.600000000000009</v>
      </c>
      <c r="T41" s="6">
        <v>1123</v>
      </c>
      <c r="U41" s="6">
        <f t="shared" si="31"/>
        <v>1210.5999999999999</v>
      </c>
      <c r="V41" s="6">
        <f t="shared" si="19"/>
        <v>242.12</v>
      </c>
      <c r="W41" s="6">
        <v>35</v>
      </c>
      <c r="X41" s="18" t="s">
        <v>238</v>
      </c>
      <c r="Z41" s="33">
        <v>0</v>
      </c>
      <c r="AA41" s="33">
        <v>23</v>
      </c>
      <c r="AB41" s="33">
        <f t="shared" si="20"/>
        <v>0</v>
      </c>
      <c r="AC41" s="33">
        <f t="shared" si="21"/>
        <v>6.8999999999999995</v>
      </c>
      <c r="AD41" s="33">
        <f t="shared" si="22"/>
        <v>0</v>
      </c>
      <c r="AE41" s="33">
        <f t="shared" si="23"/>
        <v>6.8999999999999995</v>
      </c>
      <c r="AF41" s="33">
        <f t="shared" si="24"/>
        <v>2.5760000000000001</v>
      </c>
      <c r="AG41" s="34">
        <f t="shared" si="25"/>
        <v>533.2023999999999</v>
      </c>
      <c r="AH41" s="40">
        <f t="shared" si="26"/>
        <v>81.7</v>
      </c>
      <c r="AI41" s="40">
        <f t="shared" si="27"/>
        <v>10</v>
      </c>
      <c r="AJ41" s="40">
        <f t="shared" si="28"/>
        <v>11</v>
      </c>
      <c r="AK41" s="40">
        <f t="shared" si="29"/>
        <v>11</v>
      </c>
      <c r="AL41" s="40">
        <f t="shared" si="30"/>
        <v>10</v>
      </c>
    </row>
    <row r="42" spans="1:38" x14ac:dyDescent="0.25">
      <c r="A42" s="5">
        <v>78</v>
      </c>
      <c r="B42" s="5" t="s">
        <v>239</v>
      </c>
      <c r="C42" s="5" t="s">
        <v>240</v>
      </c>
      <c r="D42" s="5" t="s">
        <v>17</v>
      </c>
      <c r="E42" s="6">
        <v>2.7</v>
      </c>
      <c r="F42" s="5" t="s">
        <v>24</v>
      </c>
      <c r="G42" s="5">
        <f>VLOOKUP(F42,Lookup!$A$8:$B$12,2,0)</f>
        <v>4</v>
      </c>
      <c r="H42" s="5" t="s">
        <v>241</v>
      </c>
      <c r="I42" s="5">
        <v>2</v>
      </c>
      <c r="J42" s="5">
        <f>VLOOKUP(I42,Lookup!$A$15:$B$18,2,0)</f>
        <v>3</v>
      </c>
      <c r="K42" s="5" t="s">
        <v>35</v>
      </c>
      <c r="L42" s="5">
        <f>VLOOKUP(K42,Lookup!$D$21:$E$24,2,0)</f>
        <v>5</v>
      </c>
      <c r="M42" s="6">
        <f t="shared" si="17"/>
        <v>13.5</v>
      </c>
      <c r="N42" s="5">
        <f>VLOOKUP(K42,Lookup!$A$21:$B$24,2,0)</f>
        <v>3</v>
      </c>
      <c r="O42" s="5" t="s">
        <v>242</v>
      </c>
      <c r="P42" s="5" t="s">
        <v>43</v>
      </c>
      <c r="Q42" s="5">
        <f>VLOOKUP(P42,Lookup!$A$27:$B$31,2,0)</f>
        <v>3</v>
      </c>
      <c r="R42" s="6">
        <f t="shared" si="18"/>
        <v>13</v>
      </c>
      <c r="T42" s="6">
        <v>1113</v>
      </c>
      <c r="U42" s="6">
        <f t="shared" si="31"/>
        <v>1113</v>
      </c>
      <c r="V42" s="6">
        <f t="shared" si="19"/>
        <v>222.60000000000002</v>
      </c>
      <c r="W42" s="6">
        <v>35</v>
      </c>
      <c r="X42" s="18" t="s">
        <v>243</v>
      </c>
      <c r="Z42" s="33">
        <f t="shared" ref="Z42:Z49" si="32">M42</f>
        <v>13.5</v>
      </c>
      <c r="AA42" s="33">
        <v>0</v>
      </c>
      <c r="AB42" s="33">
        <f t="shared" si="20"/>
        <v>4.05</v>
      </c>
      <c r="AC42" s="33">
        <f t="shared" si="21"/>
        <v>0</v>
      </c>
      <c r="AD42" s="33">
        <f t="shared" si="22"/>
        <v>4.05</v>
      </c>
      <c r="AE42" s="33">
        <f t="shared" si="23"/>
        <v>0</v>
      </c>
      <c r="AF42" s="33">
        <f t="shared" si="24"/>
        <v>1.5120000000000002</v>
      </c>
      <c r="AG42" s="34">
        <f t="shared" si="25"/>
        <v>556.31439999999986</v>
      </c>
      <c r="AH42" s="40">
        <f t="shared" si="26"/>
        <v>84.4</v>
      </c>
      <c r="AI42" s="40">
        <f t="shared" si="27"/>
        <v>9</v>
      </c>
      <c r="AJ42" s="40">
        <f t="shared" si="28"/>
        <v>10</v>
      </c>
      <c r="AK42" s="40">
        <f t="shared" si="29"/>
        <v>10</v>
      </c>
      <c r="AL42" s="40">
        <f t="shared" si="30"/>
        <v>10</v>
      </c>
    </row>
    <row r="43" spans="1:38" x14ac:dyDescent="0.25">
      <c r="A43" s="29">
        <v>79</v>
      </c>
      <c r="B43" s="5" t="s">
        <v>239</v>
      </c>
      <c r="C43" s="5" t="s">
        <v>244</v>
      </c>
      <c r="D43" s="5" t="s">
        <v>17</v>
      </c>
      <c r="E43" s="6">
        <v>1</v>
      </c>
      <c r="F43" s="5" t="s">
        <v>20</v>
      </c>
      <c r="G43" s="5">
        <f>VLOOKUP(F43,Lookup!$A$8:$B$12,2,0)</f>
        <v>5</v>
      </c>
      <c r="H43" s="5" t="s">
        <v>245</v>
      </c>
      <c r="I43" s="5">
        <v>2</v>
      </c>
      <c r="J43" s="5">
        <f>VLOOKUP(I43,Lookup!$A$15:$B$18,2,0)</f>
        <v>3</v>
      </c>
      <c r="K43" s="5" t="s">
        <v>35</v>
      </c>
      <c r="L43" s="5">
        <f>VLOOKUP(K43,Lookup!$D$21:$E$24,2,0)</f>
        <v>5</v>
      </c>
      <c r="M43" s="6">
        <f t="shared" si="17"/>
        <v>5</v>
      </c>
      <c r="N43" s="5">
        <f>VLOOKUP(K43,Lookup!$A$21:$B$24,2,0)</f>
        <v>3</v>
      </c>
      <c r="O43" s="5" t="s">
        <v>246</v>
      </c>
      <c r="P43" s="5" t="s">
        <v>43</v>
      </c>
      <c r="Q43" s="5">
        <f>VLOOKUP(P43,Lookup!$A$27:$B$31,2,0)</f>
        <v>3</v>
      </c>
      <c r="R43" s="6">
        <f t="shared" si="18"/>
        <v>14</v>
      </c>
      <c r="T43" s="6">
        <v>1221</v>
      </c>
      <c r="U43" s="6">
        <f t="shared" si="31"/>
        <v>1221</v>
      </c>
      <c r="V43" s="6">
        <f t="shared" si="19"/>
        <v>244.2</v>
      </c>
      <c r="W43" s="6">
        <v>35</v>
      </c>
      <c r="X43" s="18" t="s">
        <v>247</v>
      </c>
      <c r="Z43" s="33">
        <f t="shared" si="32"/>
        <v>5</v>
      </c>
      <c r="AA43" s="33">
        <v>0</v>
      </c>
      <c r="AB43" s="33">
        <f t="shared" si="20"/>
        <v>1.5</v>
      </c>
      <c r="AC43" s="33">
        <f t="shared" si="21"/>
        <v>0</v>
      </c>
      <c r="AD43" s="33">
        <f t="shared" si="22"/>
        <v>1.5</v>
      </c>
      <c r="AE43" s="33">
        <f t="shared" si="23"/>
        <v>0</v>
      </c>
      <c r="AF43" s="33">
        <f t="shared" si="24"/>
        <v>0.56000000000000005</v>
      </c>
      <c r="AG43" s="34">
        <f t="shared" si="25"/>
        <v>564.87439999999981</v>
      </c>
      <c r="AH43" s="40">
        <f t="shared" si="26"/>
        <v>85.4</v>
      </c>
      <c r="AI43" s="40">
        <f t="shared" si="27"/>
        <v>9</v>
      </c>
      <c r="AJ43" s="40">
        <f t="shared" si="28"/>
        <v>11</v>
      </c>
      <c r="AK43" s="40">
        <f t="shared" si="29"/>
        <v>11</v>
      </c>
      <c r="AL43" s="40">
        <f t="shared" si="30"/>
        <v>11</v>
      </c>
    </row>
    <row r="44" spans="1:38" x14ac:dyDescent="0.25">
      <c r="A44" s="29">
        <v>61</v>
      </c>
      <c r="B44" s="5" t="s">
        <v>82</v>
      </c>
      <c r="C44" s="5" t="s">
        <v>248</v>
      </c>
      <c r="D44" s="5" t="s">
        <v>17</v>
      </c>
      <c r="E44" s="6">
        <v>1.8</v>
      </c>
      <c r="F44" s="5" t="s">
        <v>20</v>
      </c>
      <c r="G44" s="5">
        <f>VLOOKUP(F44,Lookup!$A$8:$B$12,2,0)</f>
        <v>5</v>
      </c>
      <c r="H44" s="5" t="s">
        <v>249</v>
      </c>
      <c r="I44" s="5">
        <v>3</v>
      </c>
      <c r="J44" s="5">
        <f>VLOOKUP(I44,Lookup!$A$15:$B$18,2,0)</f>
        <v>5</v>
      </c>
      <c r="K44" s="5" t="s">
        <v>35</v>
      </c>
      <c r="L44" s="5">
        <f>VLOOKUP(K44,Lookup!$D$21:$E$24,2,0)</f>
        <v>5</v>
      </c>
      <c r="M44" s="6">
        <f t="shared" si="17"/>
        <v>9</v>
      </c>
      <c r="N44" s="5">
        <f>VLOOKUP(K44,Lookup!$A$21:$B$24,2,0)</f>
        <v>3</v>
      </c>
      <c r="O44" s="5" t="s">
        <v>250</v>
      </c>
      <c r="P44" s="5" t="s">
        <v>43</v>
      </c>
      <c r="Q44" s="5">
        <f>VLOOKUP(P44,Lookup!$A$27:$B$31,2,0)</f>
        <v>3</v>
      </c>
      <c r="R44" s="6">
        <f t="shared" si="18"/>
        <v>16</v>
      </c>
      <c r="S44" s="6">
        <f>370*0.1</f>
        <v>37</v>
      </c>
      <c r="T44" s="6">
        <v>394</v>
      </c>
      <c r="U44" s="6">
        <f t="shared" si="31"/>
        <v>431</v>
      </c>
      <c r="V44" s="6">
        <f t="shared" si="19"/>
        <v>86.2</v>
      </c>
      <c r="W44" s="6">
        <v>40</v>
      </c>
      <c r="X44" s="18" t="s">
        <v>251</v>
      </c>
      <c r="Y44" s="5" t="s">
        <v>252</v>
      </c>
      <c r="Z44" s="33">
        <f t="shared" si="32"/>
        <v>9</v>
      </c>
      <c r="AA44" s="33">
        <v>0</v>
      </c>
      <c r="AB44" s="33">
        <f t="shared" si="20"/>
        <v>2.6999999999999997</v>
      </c>
      <c r="AC44" s="33">
        <f t="shared" si="21"/>
        <v>0</v>
      </c>
      <c r="AD44" s="33">
        <f t="shared" si="22"/>
        <v>2.6999999999999997</v>
      </c>
      <c r="AE44" s="33">
        <f t="shared" si="23"/>
        <v>0</v>
      </c>
      <c r="AF44" s="33">
        <f t="shared" si="24"/>
        <v>1.008</v>
      </c>
      <c r="AG44" s="34">
        <f t="shared" si="25"/>
        <v>580.28239999999983</v>
      </c>
      <c r="AH44" s="40">
        <f t="shared" si="26"/>
        <v>87.2</v>
      </c>
      <c r="AI44" s="40">
        <f t="shared" si="27"/>
        <v>11</v>
      </c>
      <c r="AJ44" s="40">
        <f t="shared" si="28"/>
        <v>11</v>
      </c>
      <c r="AK44" s="40">
        <f t="shared" si="29"/>
        <v>13</v>
      </c>
      <c r="AL44" s="40">
        <f t="shared" si="30"/>
        <v>13</v>
      </c>
    </row>
    <row r="45" spans="1:38" x14ac:dyDescent="0.25">
      <c r="A45" s="29">
        <v>89</v>
      </c>
      <c r="B45" s="5" t="s">
        <v>253</v>
      </c>
      <c r="C45" s="5" t="s">
        <v>254</v>
      </c>
      <c r="D45" s="5" t="s">
        <v>17</v>
      </c>
      <c r="E45" s="6">
        <v>0.6</v>
      </c>
      <c r="F45" s="5" t="s">
        <v>24</v>
      </c>
      <c r="G45" s="5">
        <f>VLOOKUP(F45,Lookup!$A$8:$B$12,2,0)</f>
        <v>4</v>
      </c>
      <c r="H45" s="5" t="s">
        <v>255</v>
      </c>
      <c r="I45" s="5">
        <v>2</v>
      </c>
      <c r="J45" s="5">
        <f>VLOOKUP(I45,Lookup!$A$15:$B$18,2,0)</f>
        <v>3</v>
      </c>
      <c r="K45" s="5" t="s">
        <v>37</v>
      </c>
      <c r="L45" s="5">
        <f>VLOOKUP(K45,Lookup!$D$21:$E$24,2,0)</f>
        <v>2</v>
      </c>
      <c r="M45" s="6">
        <f t="shared" si="17"/>
        <v>1.2</v>
      </c>
      <c r="N45" s="5">
        <f>VLOOKUP(K45,Lookup!$A$21:$B$24,2,0)</f>
        <v>5</v>
      </c>
      <c r="O45" s="5" t="s">
        <v>256</v>
      </c>
      <c r="P45" s="5" t="s">
        <v>44</v>
      </c>
      <c r="Q45" s="5">
        <f>VLOOKUP(P45,Lookup!$A$27:$B$31,2,0)</f>
        <v>2</v>
      </c>
      <c r="R45" s="6">
        <f t="shared" si="18"/>
        <v>14</v>
      </c>
      <c r="T45" s="6">
        <v>455</v>
      </c>
      <c r="U45" s="6">
        <f t="shared" si="31"/>
        <v>455</v>
      </c>
      <c r="V45" s="6">
        <f t="shared" si="19"/>
        <v>227.5</v>
      </c>
      <c r="W45" s="6">
        <v>40</v>
      </c>
      <c r="X45" s="18" t="s">
        <v>257</v>
      </c>
      <c r="Z45" s="33">
        <f t="shared" si="32"/>
        <v>1.2</v>
      </c>
      <c r="AA45" s="33">
        <v>0</v>
      </c>
      <c r="AB45" s="33">
        <f t="shared" si="20"/>
        <v>0.36</v>
      </c>
      <c r="AC45" s="33">
        <f t="shared" si="21"/>
        <v>0</v>
      </c>
      <c r="AD45" s="33">
        <f t="shared" si="22"/>
        <v>0.36</v>
      </c>
      <c r="AE45" s="33">
        <f t="shared" si="23"/>
        <v>0</v>
      </c>
      <c r="AF45" s="33">
        <f t="shared" si="24"/>
        <v>0.13440000000000002</v>
      </c>
      <c r="AG45" s="34">
        <f t="shared" si="25"/>
        <v>582.33679999999981</v>
      </c>
      <c r="AH45" s="40">
        <f t="shared" si="26"/>
        <v>87.8</v>
      </c>
      <c r="AI45" s="40">
        <f t="shared" si="27"/>
        <v>10</v>
      </c>
      <c r="AJ45" s="40">
        <f t="shared" si="28"/>
        <v>11</v>
      </c>
      <c r="AK45" s="40">
        <f t="shared" si="29"/>
        <v>9</v>
      </c>
      <c r="AL45" s="40">
        <f t="shared" si="30"/>
        <v>12</v>
      </c>
    </row>
    <row r="46" spans="1:38" s="47" customFormat="1" x14ac:dyDescent="0.25">
      <c r="A46" s="47">
        <v>90</v>
      </c>
      <c r="B46" s="47" t="s">
        <v>253</v>
      </c>
      <c r="C46" s="47" t="s">
        <v>258</v>
      </c>
      <c r="D46" s="47" t="s">
        <v>18</v>
      </c>
      <c r="E46" s="48">
        <v>1.5</v>
      </c>
      <c r="F46" s="47" t="s">
        <v>26</v>
      </c>
      <c r="G46" s="47">
        <f>VLOOKUP(F46,Lookup!$A$8:$B$12,2,0)</f>
        <v>1</v>
      </c>
      <c r="H46" s="47" t="s">
        <v>259</v>
      </c>
      <c r="I46" s="47">
        <v>3</v>
      </c>
      <c r="J46" s="47">
        <f>VLOOKUP(I46,Lookup!$A$15:$B$18,2,0)</f>
        <v>5</v>
      </c>
      <c r="K46" s="47" t="s">
        <v>37</v>
      </c>
      <c r="L46" s="47">
        <v>2</v>
      </c>
      <c r="M46" s="48">
        <f t="shared" si="17"/>
        <v>3</v>
      </c>
      <c r="N46" s="47">
        <f>VLOOKUP(K46,Lookup!$A$21:$B$24,2,0)</f>
        <v>5</v>
      </c>
      <c r="O46" s="47" t="s">
        <v>256</v>
      </c>
      <c r="P46" s="47" t="s">
        <v>43</v>
      </c>
      <c r="Q46" s="47">
        <f>VLOOKUP(P46,Lookup!$A$27:$B$31,2,0)</f>
        <v>3</v>
      </c>
      <c r="R46" s="48">
        <f t="shared" si="18"/>
        <v>14</v>
      </c>
      <c r="S46" s="48"/>
      <c r="T46" s="48">
        <v>747</v>
      </c>
      <c r="U46" s="48">
        <f t="shared" si="31"/>
        <v>747</v>
      </c>
      <c r="V46" s="48">
        <f t="shared" si="19"/>
        <v>373.5</v>
      </c>
      <c r="W46" s="48">
        <v>40</v>
      </c>
      <c r="X46" s="49" t="s">
        <v>260</v>
      </c>
      <c r="Z46" s="50">
        <f t="shared" si="32"/>
        <v>3</v>
      </c>
      <c r="AA46" s="50">
        <v>0</v>
      </c>
      <c r="AB46" s="50">
        <f t="shared" si="20"/>
        <v>0.89999999999999991</v>
      </c>
      <c r="AC46" s="50">
        <f t="shared" si="21"/>
        <v>0</v>
      </c>
      <c r="AD46" s="50">
        <f t="shared" si="22"/>
        <v>0.89999999999999991</v>
      </c>
      <c r="AE46" s="50">
        <f t="shared" si="23"/>
        <v>0</v>
      </c>
      <c r="AF46" s="50">
        <f t="shared" si="24"/>
        <v>0.33600000000000002</v>
      </c>
      <c r="AG46" s="51">
        <f t="shared" si="25"/>
        <v>587.47279999999978</v>
      </c>
      <c r="AH46" s="52">
        <f t="shared" si="26"/>
        <v>89.3</v>
      </c>
      <c r="AI46" s="40">
        <f t="shared" si="27"/>
        <v>13</v>
      </c>
      <c r="AJ46" s="40">
        <f t="shared" si="28"/>
        <v>9</v>
      </c>
      <c r="AK46" s="40">
        <f t="shared" si="29"/>
        <v>9</v>
      </c>
      <c r="AL46" s="40">
        <f t="shared" si="30"/>
        <v>11</v>
      </c>
    </row>
    <row r="47" spans="1:38" x14ac:dyDescent="0.25">
      <c r="A47" s="5">
        <v>126</v>
      </c>
      <c r="B47" s="5" t="s">
        <v>261</v>
      </c>
      <c r="C47" s="5" t="s">
        <v>262</v>
      </c>
      <c r="D47" s="5" t="s">
        <v>17</v>
      </c>
      <c r="E47" s="6">
        <v>2.7</v>
      </c>
      <c r="F47" s="5" t="s">
        <v>24</v>
      </c>
      <c r="G47" s="5">
        <f>VLOOKUP(F47,Lookup!$A$8:$B$12,2,0)</f>
        <v>4</v>
      </c>
      <c r="H47" s="5" t="s">
        <v>263</v>
      </c>
      <c r="I47" s="5">
        <v>3</v>
      </c>
      <c r="J47" s="5">
        <f>VLOOKUP(I47,Lookup!$A$15:$B$18,2,0)</f>
        <v>5</v>
      </c>
      <c r="K47" s="5" t="s">
        <v>35</v>
      </c>
      <c r="L47" s="5">
        <f>VLOOKUP(K47,Lookup!$D$21:$E$24,2,0)</f>
        <v>5</v>
      </c>
      <c r="M47" s="6">
        <f t="shared" si="17"/>
        <v>13.5</v>
      </c>
      <c r="N47" s="5">
        <f>VLOOKUP(K47,Lookup!$A$21:$B$24,2,0)</f>
        <v>3</v>
      </c>
      <c r="O47" s="5" t="s">
        <v>264</v>
      </c>
      <c r="P47" s="5" t="s">
        <v>43</v>
      </c>
      <c r="Q47" s="5">
        <f>VLOOKUP(P47,Lookup!$A$27:$B$31,2,0)</f>
        <v>3</v>
      </c>
      <c r="R47" s="6">
        <f t="shared" si="18"/>
        <v>15</v>
      </c>
      <c r="T47" s="6">
        <v>1161</v>
      </c>
      <c r="U47" s="6">
        <f t="shared" si="31"/>
        <v>1161</v>
      </c>
      <c r="V47" s="6">
        <f t="shared" si="19"/>
        <v>232.20000000000002</v>
      </c>
      <c r="W47" s="6">
        <v>40</v>
      </c>
      <c r="X47" s="18" t="s">
        <v>265</v>
      </c>
      <c r="Z47" s="33">
        <f t="shared" si="32"/>
        <v>13.5</v>
      </c>
      <c r="AA47" s="33">
        <v>0</v>
      </c>
      <c r="AB47" s="33">
        <f t="shared" si="20"/>
        <v>4.05</v>
      </c>
      <c r="AC47" s="33">
        <f t="shared" si="21"/>
        <v>0</v>
      </c>
      <c r="AD47" s="33">
        <f t="shared" si="22"/>
        <v>4.05</v>
      </c>
      <c r="AE47" s="33">
        <f t="shared" si="23"/>
        <v>0</v>
      </c>
      <c r="AF47" s="33">
        <f t="shared" si="24"/>
        <v>1.5120000000000002</v>
      </c>
      <c r="AG47" s="34">
        <f t="shared" si="25"/>
        <v>610.58479999999975</v>
      </c>
      <c r="AH47" s="40">
        <f t="shared" si="26"/>
        <v>92</v>
      </c>
      <c r="AI47" s="40">
        <f t="shared" si="27"/>
        <v>11</v>
      </c>
      <c r="AJ47" s="40">
        <f t="shared" si="28"/>
        <v>10</v>
      </c>
      <c r="AK47" s="40">
        <f t="shared" si="29"/>
        <v>12</v>
      </c>
      <c r="AL47" s="40">
        <f t="shared" si="30"/>
        <v>12</v>
      </c>
    </row>
    <row r="48" spans="1:38" x14ac:dyDescent="0.25">
      <c r="A48" s="29">
        <v>127</v>
      </c>
      <c r="B48" s="5" t="s">
        <v>266</v>
      </c>
      <c r="C48" s="5" t="s">
        <v>267</v>
      </c>
      <c r="D48" s="5" t="s">
        <v>17</v>
      </c>
      <c r="E48" s="6">
        <v>1.3</v>
      </c>
      <c r="F48" s="5" t="s">
        <v>20</v>
      </c>
      <c r="G48" s="5">
        <f>VLOOKUP(F48,Lookup!$A$8:$B$12,2,0)</f>
        <v>5</v>
      </c>
      <c r="H48" s="5" t="s">
        <v>268</v>
      </c>
      <c r="I48" s="5">
        <v>1</v>
      </c>
      <c r="J48" s="5">
        <f>VLOOKUP(I48,Lookup!$A$15:$B$18,2,0)</f>
        <v>1</v>
      </c>
      <c r="K48" s="5" t="s">
        <v>37</v>
      </c>
      <c r="L48" s="5">
        <f>VLOOKUP(K48,Lookup!$D$21:$E$24,2,0)</f>
        <v>2</v>
      </c>
      <c r="M48" s="6">
        <f t="shared" si="17"/>
        <v>2.6</v>
      </c>
      <c r="N48" s="5">
        <f>VLOOKUP(K48,Lookup!$A$21:$B$24,2,0)</f>
        <v>5</v>
      </c>
      <c r="O48" s="5" t="s">
        <v>269</v>
      </c>
      <c r="P48" s="5" t="s">
        <v>42</v>
      </c>
      <c r="Q48" s="5">
        <f>VLOOKUP(P48,Lookup!$A$27:$B$31,2,0)</f>
        <v>4</v>
      </c>
      <c r="R48" s="6">
        <f t="shared" si="18"/>
        <v>15</v>
      </c>
      <c r="S48" s="6">
        <f>672*0.1</f>
        <v>67.2</v>
      </c>
      <c r="T48" s="6">
        <v>381</v>
      </c>
      <c r="U48" s="6">
        <f t="shared" si="31"/>
        <v>448.2</v>
      </c>
      <c r="V48" s="6">
        <f t="shared" si="19"/>
        <v>224.09999999999997</v>
      </c>
      <c r="W48" s="6">
        <v>40</v>
      </c>
      <c r="X48" s="18" t="s">
        <v>270</v>
      </c>
      <c r="Z48" s="33">
        <f t="shared" si="32"/>
        <v>2.6</v>
      </c>
      <c r="AA48" s="33">
        <v>0</v>
      </c>
      <c r="AB48" s="33">
        <f t="shared" si="20"/>
        <v>0.78</v>
      </c>
      <c r="AC48" s="33">
        <f t="shared" si="21"/>
        <v>0</v>
      </c>
      <c r="AD48" s="33">
        <f t="shared" si="22"/>
        <v>0.78</v>
      </c>
      <c r="AE48" s="33">
        <f t="shared" si="23"/>
        <v>0</v>
      </c>
      <c r="AF48" s="33">
        <f t="shared" si="24"/>
        <v>0.29120000000000001</v>
      </c>
      <c r="AG48" s="34">
        <f t="shared" si="25"/>
        <v>615.03599999999972</v>
      </c>
      <c r="AH48" s="40">
        <f t="shared" si="26"/>
        <v>93.3</v>
      </c>
      <c r="AI48" s="40">
        <f t="shared" si="27"/>
        <v>10</v>
      </c>
      <c r="AJ48" s="40">
        <f t="shared" si="28"/>
        <v>14</v>
      </c>
      <c r="AK48" s="40">
        <f t="shared" si="29"/>
        <v>10</v>
      </c>
      <c r="AL48" s="40">
        <f t="shared" si="30"/>
        <v>11</v>
      </c>
    </row>
    <row r="49" spans="1:38" x14ac:dyDescent="0.25">
      <c r="A49" s="29">
        <v>128</v>
      </c>
      <c r="B49" s="5" t="s">
        <v>266</v>
      </c>
      <c r="C49" s="5" t="s">
        <v>271</v>
      </c>
      <c r="D49" s="5" t="s">
        <v>18</v>
      </c>
      <c r="E49" s="6">
        <v>1.7</v>
      </c>
      <c r="F49" s="5" t="s">
        <v>20</v>
      </c>
      <c r="G49" s="5">
        <f>VLOOKUP(F49,Lookup!$A$8:$B$12,2,0)</f>
        <v>5</v>
      </c>
      <c r="H49" s="5" t="s">
        <v>268</v>
      </c>
      <c r="I49" s="5">
        <v>3</v>
      </c>
      <c r="J49" s="5">
        <f>VLOOKUP(I49,Lookup!$A$15:$B$18,2,0)</f>
        <v>5</v>
      </c>
      <c r="K49" s="5" t="s">
        <v>37</v>
      </c>
      <c r="L49" s="5">
        <f>VLOOKUP(K49,Lookup!$D$21:$E$24,2,0)</f>
        <v>2</v>
      </c>
      <c r="M49" s="6">
        <f t="shared" si="17"/>
        <v>3.4</v>
      </c>
      <c r="N49" s="5">
        <f>VLOOKUP(K49,Lookup!$A$21:$B$24,2,0)</f>
        <v>5</v>
      </c>
      <c r="O49" s="5" t="s">
        <v>269</v>
      </c>
      <c r="P49" s="5" t="s">
        <v>43</v>
      </c>
      <c r="Q49" s="5">
        <f>VLOOKUP(P49,Lookup!$A$27:$B$31,2,0)</f>
        <v>3</v>
      </c>
      <c r="R49" s="6">
        <f t="shared" si="18"/>
        <v>18</v>
      </c>
      <c r="S49" s="6">
        <f>672*0.1</f>
        <v>67.2</v>
      </c>
      <c r="U49" s="6">
        <f t="shared" si="31"/>
        <v>67.2</v>
      </c>
      <c r="V49" s="6">
        <f t="shared" si="19"/>
        <v>33.6</v>
      </c>
      <c r="W49" s="6">
        <v>40</v>
      </c>
      <c r="X49" s="18" t="s">
        <v>272</v>
      </c>
      <c r="Z49" s="33">
        <f t="shared" si="32"/>
        <v>3.4</v>
      </c>
      <c r="AA49" s="33">
        <v>10</v>
      </c>
      <c r="AB49" s="33">
        <f t="shared" si="20"/>
        <v>1.02</v>
      </c>
      <c r="AC49" s="33">
        <f t="shared" si="21"/>
        <v>3</v>
      </c>
      <c r="AD49" s="33">
        <f t="shared" si="22"/>
        <v>1.02</v>
      </c>
      <c r="AE49" s="33">
        <f t="shared" si="23"/>
        <v>3</v>
      </c>
      <c r="AF49" s="33">
        <f t="shared" si="24"/>
        <v>1.5008000000000001</v>
      </c>
      <c r="AG49" s="34">
        <f t="shared" si="25"/>
        <v>637.97679999999968</v>
      </c>
      <c r="AH49" s="40">
        <f t="shared" si="26"/>
        <v>95</v>
      </c>
      <c r="AI49" s="40">
        <f t="shared" si="27"/>
        <v>13</v>
      </c>
      <c r="AJ49" s="40">
        <f t="shared" si="28"/>
        <v>13</v>
      </c>
      <c r="AK49" s="40">
        <f t="shared" si="29"/>
        <v>13</v>
      </c>
      <c r="AL49" s="40">
        <f t="shared" si="30"/>
        <v>15</v>
      </c>
    </row>
    <row r="50" spans="1:38" x14ac:dyDescent="0.25">
      <c r="A50" s="5">
        <v>129</v>
      </c>
      <c r="B50" s="5" t="s">
        <v>266</v>
      </c>
      <c r="C50" s="5" t="s">
        <v>273</v>
      </c>
      <c r="D50" s="5" t="s">
        <v>15</v>
      </c>
      <c r="E50" s="6">
        <v>2</v>
      </c>
      <c r="F50" s="5" t="s">
        <v>20</v>
      </c>
      <c r="G50" s="5">
        <f>VLOOKUP(F50,Lookup!$A$8:$B$12,2,0)</f>
        <v>5</v>
      </c>
      <c r="H50" s="5" t="s">
        <v>268</v>
      </c>
      <c r="I50" s="5">
        <v>3</v>
      </c>
      <c r="J50" s="5">
        <f>VLOOKUP(I50,Lookup!$A$15:$B$18,2,0)</f>
        <v>5</v>
      </c>
      <c r="K50" s="5" t="s">
        <v>33</v>
      </c>
      <c r="L50" s="5">
        <f>VLOOKUP(K50,Lookup!$D$21:$E$24,2,0)</f>
        <v>10</v>
      </c>
      <c r="M50" s="6">
        <f t="shared" si="17"/>
        <v>20</v>
      </c>
      <c r="N50" s="5">
        <f>VLOOKUP(K50,Lookup!$A$21:$B$24,2,0)</f>
        <v>2</v>
      </c>
      <c r="O50" s="5" t="s">
        <v>274</v>
      </c>
      <c r="P50" s="5" t="s">
        <v>42</v>
      </c>
      <c r="Q50" s="5">
        <f>VLOOKUP(P50,Lookup!$A$27:$B$31,2,0)</f>
        <v>4</v>
      </c>
      <c r="R50" s="6">
        <f t="shared" si="18"/>
        <v>16</v>
      </c>
      <c r="S50" s="6">
        <f>672*0.1</f>
        <v>67.2</v>
      </c>
      <c r="T50" s="6">
        <v>690</v>
      </c>
      <c r="U50" s="6">
        <f t="shared" si="31"/>
        <v>757.2</v>
      </c>
      <c r="V50" s="6">
        <f t="shared" si="19"/>
        <v>75.72</v>
      </c>
      <c r="W50" s="6">
        <v>40</v>
      </c>
      <c r="X50" s="18" t="s">
        <v>275</v>
      </c>
      <c r="Y50" s="5" t="s">
        <v>113</v>
      </c>
      <c r="Z50" s="33">
        <v>0</v>
      </c>
      <c r="AA50" s="33">
        <v>20</v>
      </c>
      <c r="AB50" s="33">
        <f t="shared" si="20"/>
        <v>0</v>
      </c>
      <c r="AC50" s="33">
        <f t="shared" si="21"/>
        <v>6</v>
      </c>
      <c r="AD50" s="33">
        <f t="shared" si="22"/>
        <v>0</v>
      </c>
      <c r="AE50" s="33">
        <f t="shared" si="23"/>
        <v>6</v>
      </c>
      <c r="AF50" s="33">
        <f t="shared" si="24"/>
        <v>2.2400000000000002</v>
      </c>
      <c r="AG50" s="34">
        <f t="shared" si="25"/>
        <v>672.21679999999969</v>
      </c>
      <c r="AH50" s="40">
        <f t="shared" si="26"/>
        <v>97</v>
      </c>
      <c r="AI50" s="40">
        <f t="shared" si="27"/>
        <v>11</v>
      </c>
      <c r="AJ50" s="40">
        <f t="shared" si="28"/>
        <v>11</v>
      </c>
      <c r="AK50" s="40">
        <f t="shared" si="29"/>
        <v>14</v>
      </c>
      <c r="AL50" s="40">
        <f t="shared" si="30"/>
        <v>12</v>
      </c>
    </row>
    <row r="51" spans="1:38" x14ac:dyDescent="0.25">
      <c r="A51" s="29">
        <v>130</v>
      </c>
      <c r="B51" s="5" t="s">
        <v>266</v>
      </c>
      <c r="C51" s="5" t="s">
        <v>276</v>
      </c>
      <c r="D51" s="5" t="s">
        <v>18</v>
      </c>
      <c r="E51" s="6">
        <v>1.2</v>
      </c>
      <c r="F51" s="5" t="s">
        <v>24</v>
      </c>
      <c r="G51" s="5">
        <f>VLOOKUP(F51,Lookup!$A$8:$B$12,2,0)</f>
        <v>4</v>
      </c>
      <c r="H51" s="5" t="s">
        <v>277</v>
      </c>
      <c r="I51" s="5">
        <v>2</v>
      </c>
      <c r="J51" s="5">
        <f>VLOOKUP(I51,Lookup!$A$15:$B$18,2,0)</f>
        <v>3</v>
      </c>
      <c r="K51" s="5" t="s">
        <v>37</v>
      </c>
      <c r="L51" s="5">
        <f>VLOOKUP(K51,Lookup!$D$21:$E$24,2,0)</f>
        <v>2</v>
      </c>
      <c r="M51" s="6">
        <f t="shared" si="17"/>
        <v>2.4</v>
      </c>
      <c r="N51" s="5">
        <f>VLOOKUP(K51,Lookup!$A$21:$B$24,2,0)</f>
        <v>5</v>
      </c>
      <c r="O51" s="5" t="s">
        <v>278</v>
      </c>
      <c r="P51" s="5" t="s">
        <v>43</v>
      </c>
      <c r="Q51" s="5">
        <f>VLOOKUP(P51,Lookup!$A$27:$B$31,2,0)</f>
        <v>3</v>
      </c>
      <c r="R51" s="6">
        <f t="shared" si="18"/>
        <v>15</v>
      </c>
      <c r="S51" s="6">
        <f>672*0.1</f>
        <v>67.2</v>
      </c>
      <c r="T51" s="6">
        <v>175</v>
      </c>
      <c r="U51" s="6">
        <f t="shared" si="31"/>
        <v>242.2</v>
      </c>
      <c r="V51" s="6">
        <f t="shared" si="19"/>
        <v>121.1</v>
      </c>
      <c r="W51" s="6">
        <v>40</v>
      </c>
      <c r="X51" s="18" t="s">
        <v>120</v>
      </c>
      <c r="Z51" s="33">
        <f>M51</f>
        <v>2.4</v>
      </c>
      <c r="AA51" s="33">
        <v>0</v>
      </c>
      <c r="AB51" s="33">
        <f t="shared" si="20"/>
        <v>0.72</v>
      </c>
      <c r="AC51" s="33">
        <f t="shared" si="21"/>
        <v>0</v>
      </c>
      <c r="AD51" s="33">
        <f t="shared" si="22"/>
        <v>0.72</v>
      </c>
      <c r="AE51" s="33">
        <f t="shared" si="23"/>
        <v>0</v>
      </c>
      <c r="AF51" s="33">
        <f t="shared" si="24"/>
        <v>0.26880000000000004</v>
      </c>
      <c r="AG51" s="34">
        <f t="shared" si="25"/>
        <v>676.32559999999967</v>
      </c>
      <c r="AH51" s="40">
        <f t="shared" si="26"/>
        <v>98.2</v>
      </c>
      <c r="AI51" s="40">
        <f t="shared" si="27"/>
        <v>11</v>
      </c>
      <c r="AJ51" s="40">
        <f t="shared" si="28"/>
        <v>12</v>
      </c>
      <c r="AK51" s="40">
        <f t="shared" si="29"/>
        <v>10</v>
      </c>
      <c r="AL51" s="40">
        <f t="shared" si="30"/>
        <v>12</v>
      </c>
    </row>
    <row r="52" spans="1:38" x14ac:dyDescent="0.25">
      <c r="A52" s="29">
        <v>98</v>
      </c>
      <c r="B52" s="5" t="s">
        <v>154</v>
      </c>
      <c r="C52" s="5" t="s">
        <v>279</v>
      </c>
      <c r="D52" s="5" t="s">
        <v>17</v>
      </c>
      <c r="E52" s="6">
        <v>3.5</v>
      </c>
      <c r="F52" s="5" t="s">
        <v>26</v>
      </c>
      <c r="G52" s="5">
        <f>VLOOKUP(F52,Lookup!$A$8:$B$12,2,0)</f>
        <v>1</v>
      </c>
      <c r="H52" s="5" t="s">
        <v>280</v>
      </c>
      <c r="I52" s="5">
        <v>2</v>
      </c>
      <c r="J52" s="5">
        <f>VLOOKUP(I52,Lookup!$A$15:$B$18,2,0)</f>
        <v>3</v>
      </c>
      <c r="K52" s="5" t="s">
        <v>35</v>
      </c>
      <c r="L52" s="5">
        <f>VLOOKUP(K52,Lookup!$D$21:$E$24,2,0)</f>
        <v>5</v>
      </c>
      <c r="M52" s="6">
        <f t="shared" si="17"/>
        <v>17.5</v>
      </c>
      <c r="N52" s="5">
        <f>VLOOKUP(K52,Lookup!$A$21:$B$24,2,0)</f>
        <v>3</v>
      </c>
      <c r="O52" s="5" t="s">
        <v>237</v>
      </c>
      <c r="P52" s="5" t="s">
        <v>42</v>
      </c>
      <c r="Q52" s="5">
        <f>VLOOKUP(P52,Lookup!$A$27:$B$31,2,0)</f>
        <v>4</v>
      </c>
      <c r="R52" s="6">
        <f t="shared" si="18"/>
        <v>11</v>
      </c>
      <c r="T52" s="6">
        <v>1269</v>
      </c>
      <c r="U52" s="6">
        <f t="shared" si="31"/>
        <v>1269</v>
      </c>
      <c r="V52" s="6">
        <f t="shared" si="19"/>
        <v>253.8</v>
      </c>
      <c r="W52" s="6">
        <v>45</v>
      </c>
      <c r="X52" s="18" t="s">
        <v>281</v>
      </c>
      <c r="Y52" s="5" t="s">
        <v>282</v>
      </c>
      <c r="Z52" s="33">
        <v>0</v>
      </c>
      <c r="AA52" s="33">
        <v>18</v>
      </c>
      <c r="AB52" s="33">
        <f t="shared" si="20"/>
        <v>0</v>
      </c>
      <c r="AC52" s="33">
        <f t="shared" si="21"/>
        <v>5.3999999999999995</v>
      </c>
      <c r="AD52" s="33">
        <f t="shared" si="22"/>
        <v>0</v>
      </c>
      <c r="AE52" s="33">
        <f t="shared" si="23"/>
        <v>5.3999999999999995</v>
      </c>
      <c r="AF52" s="33">
        <f t="shared" si="24"/>
        <v>2.016</v>
      </c>
      <c r="AG52" s="34">
        <f t="shared" si="25"/>
        <v>707.1415999999997</v>
      </c>
      <c r="AH52" s="40">
        <f t="shared" si="26"/>
        <v>101.7</v>
      </c>
      <c r="AI52" s="40">
        <f t="shared" si="27"/>
        <v>10</v>
      </c>
      <c r="AJ52" s="40">
        <f t="shared" si="28"/>
        <v>8</v>
      </c>
      <c r="AK52" s="40">
        <f t="shared" si="29"/>
        <v>8</v>
      </c>
      <c r="AL52" s="40">
        <f t="shared" si="30"/>
        <v>7</v>
      </c>
    </row>
    <row r="53" spans="1:38" x14ac:dyDescent="0.25">
      <c r="A53" s="29">
        <v>134</v>
      </c>
      <c r="B53" s="5" t="s">
        <v>93</v>
      </c>
      <c r="C53" s="5" t="s">
        <v>283</v>
      </c>
      <c r="D53" s="5" t="s">
        <v>17</v>
      </c>
      <c r="E53" s="6">
        <v>1.3</v>
      </c>
      <c r="F53" s="5" t="s">
        <v>22</v>
      </c>
      <c r="G53" s="5">
        <f>VLOOKUP(F53,Lookup!$A$8:$B$12,2,0)</f>
        <v>3</v>
      </c>
      <c r="H53" s="5" t="s">
        <v>284</v>
      </c>
      <c r="I53" s="5">
        <v>1</v>
      </c>
      <c r="J53" s="5">
        <f>VLOOKUP(I53,Lookup!$A$15:$B$18,2,0)</f>
        <v>1</v>
      </c>
      <c r="K53" s="5" t="s">
        <v>37</v>
      </c>
      <c r="L53" s="5">
        <f>VLOOKUP(K53,Lookup!$D$21:$E$24,2,0)</f>
        <v>2</v>
      </c>
      <c r="M53" s="6">
        <f t="shared" si="17"/>
        <v>2.6</v>
      </c>
      <c r="N53" s="5">
        <f>VLOOKUP(K53,Lookup!$A$21:$B$24,2,0)</f>
        <v>5</v>
      </c>
      <c r="O53" s="5" t="s">
        <v>285</v>
      </c>
      <c r="P53" s="5" t="s">
        <v>44</v>
      </c>
      <c r="Q53" s="5">
        <f>VLOOKUP(P53,Lookup!$A$27:$B$31,2,0)</f>
        <v>2</v>
      </c>
      <c r="R53" s="6">
        <f t="shared" si="18"/>
        <v>11</v>
      </c>
      <c r="S53" s="6">
        <f>1158*0.08</f>
        <v>92.64</v>
      </c>
      <c r="T53" s="6">
        <v>295</v>
      </c>
      <c r="U53" s="6">
        <f t="shared" si="31"/>
        <v>387.64</v>
      </c>
      <c r="V53" s="6">
        <f t="shared" si="19"/>
        <v>193.82</v>
      </c>
      <c r="W53" s="6">
        <v>45</v>
      </c>
      <c r="X53" s="18" t="s">
        <v>286</v>
      </c>
      <c r="Z53" s="33">
        <f t="shared" ref="Z53:Z66" si="33">M53</f>
        <v>2.6</v>
      </c>
      <c r="AA53" s="33">
        <v>0</v>
      </c>
      <c r="AB53" s="33">
        <f t="shared" si="20"/>
        <v>0.78</v>
      </c>
      <c r="AC53" s="33">
        <f t="shared" si="21"/>
        <v>0</v>
      </c>
      <c r="AD53" s="33">
        <f t="shared" si="22"/>
        <v>0.78</v>
      </c>
      <c r="AE53" s="33">
        <f t="shared" si="23"/>
        <v>0</v>
      </c>
      <c r="AF53" s="33">
        <f t="shared" si="24"/>
        <v>0.29120000000000001</v>
      </c>
      <c r="AG53" s="34">
        <f t="shared" si="25"/>
        <v>711.59279999999967</v>
      </c>
      <c r="AH53" s="40">
        <f t="shared" si="26"/>
        <v>103</v>
      </c>
      <c r="AI53" s="40">
        <f t="shared" si="27"/>
        <v>8</v>
      </c>
      <c r="AJ53" s="40">
        <f t="shared" si="28"/>
        <v>10</v>
      </c>
      <c r="AK53" s="40">
        <f t="shared" si="29"/>
        <v>6</v>
      </c>
      <c r="AL53" s="40">
        <f t="shared" si="30"/>
        <v>9</v>
      </c>
    </row>
    <row r="54" spans="1:38" x14ac:dyDescent="0.25">
      <c r="A54" s="5">
        <v>144</v>
      </c>
      <c r="B54" s="5" t="s">
        <v>101</v>
      </c>
      <c r="C54" s="5" t="s">
        <v>287</v>
      </c>
      <c r="D54" s="5" t="s">
        <v>18</v>
      </c>
      <c r="E54" s="6">
        <v>1.4</v>
      </c>
      <c r="F54" s="5" t="s">
        <v>24</v>
      </c>
      <c r="G54" s="5">
        <f>VLOOKUP(F54,Lookup!$A$8:$B$12,2,0)</f>
        <v>4</v>
      </c>
      <c r="H54" s="5" t="s">
        <v>288</v>
      </c>
      <c r="I54" s="5">
        <v>3</v>
      </c>
      <c r="J54" s="5">
        <f>VLOOKUP(I54,Lookup!$A$15:$B$18,2,0)</f>
        <v>5</v>
      </c>
      <c r="K54" s="5" t="s">
        <v>37</v>
      </c>
      <c r="L54" s="5">
        <f>VLOOKUP(K54,Lookup!$D$21:$E$24,2,0)</f>
        <v>2</v>
      </c>
      <c r="M54" s="6">
        <f t="shared" si="17"/>
        <v>2.8</v>
      </c>
      <c r="N54" s="5">
        <f>VLOOKUP(K54,Lookup!$A$21:$B$24,2,0)</f>
        <v>5</v>
      </c>
      <c r="O54" s="5" t="s">
        <v>289</v>
      </c>
      <c r="P54" s="5" t="s">
        <v>44</v>
      </c>
      <c r="Q54" s="5">
        <f>VLOOKUP(P54,Lookup!$A$27:$B$31,2,0)</f>
        <v>2</v>
      </c>
      <c r="R54" s="6">
        <f t="shared" si="18"/>
        <v>16</v>
      </c>
      <c r="S54" s="6">
        <f>942*0.1+760*0.1</f>
        <v>170.2</v>
      </c>
      <c r="T54" s="6">
        <v>202</v>
      </c>
      <c r="U54" s="6">
        <f t="shared" si="31"/>
        <v>372.2</v>
      </c>
      <c r="V54" s="6">
        <f t="shared" si="19"/>
        <v>186.1</v>
      </c>
      <c r="W54" s="6">
        <v>45</v>
      </c>
      <c r="X54" s="18" t="s">
        <v>120</v>
      </c>
      <c r="Z54" s="33">
        <f t="shared" si="33"/>
        <v>2.8</v>
      </c>
      <c r="AA54" s="33">
        <v>0</v>
      </c>
      <c r="AB54" s="33">
        <f t="shared" si="20"/>
        <v>0.84</v>
      </c>
      <c r="AC54" s="33">
        <f t="shared" si="21"/>
        <v>0</v>
      </c>
      <c r="AD54" s="33">
        <f t="shared" si="22"/>
        <v>0.84</v>
      </c>
      <c r="AE54" s="33">
        <f t="shared" si="23"/>
        <v>0</v>
      </c>
      <c r="AF54" s="33">
        <f t="shared" si="24"/>
        <v>0.31359999999999999</v>
      </c>
      <c r="AG54" s="34">
        <f t="shared" si="25"/>
        <v>716.38639999999964</v>
      </c>
      <c r="AH54" s="40">
        <f t="shared" si="26"/>
        <v>104.4</v>
      </c>
      <c r="AI54" s="40">
        <f t="shared" si="27"/>
        <v>12</v>
      </c>
      <c r="AJ54" s="40">
        <f t="shared" si="28"/>
        <v>11</v>
      </c>
      <c r="AK54" s="40">
        <f t="shared" si="29"/>
        <v>11</v>
      </c>
      <c r="AL54" s="40">
        <f t="shared" si="30"/>
        <v>14</v>
      </c>
    </row>
    <row r="55" spans="1:38" x14ac:dyDescent="0.25">
      <c r="A55" s="5">
        <v>87</v>
      </c>
      <c r="B55" s="5" t="s">
        <v>290</v>
      </c>
      <c r="C55" s="5" t="s">
        <v>291</v>
      </c>
      <c r="D55" s="5" t="s">
        <v>18</v>
      </c>
      <c r="E55" s="6">
        <v>1</v>
      </c>
      <c r="F55" s="5" t="s">
        <v>26</v>
      </c>
      <c r="G55" s="5">
        <f>VLOOKUP(F55,Lookup!$A$8:$B$12,2,0)</f>
        <v>1</v>
      </c>
      <c r="H55" s="5" t="s">
        <v>292</v>
      </c>
      <c r="I55" s="5">
        <v>2</v>
      </c>
      <c r="J55" s="5">
        <f>VLOOKUP(I55,Lookup!$A$15:$B$18,2,0)</f>
        <v>3</v>
      </c>
      <c r="K55" s="5" t="s">
        <v>37</v>
      </c>
      <c r="L55" s="5">
        <f>VLOOKUP(K55,Lookup!$D$21:$E$24,2,0)</f>
        <v>2</v>
      </c>
      <c r="M55" s="6">
        <f t="shared" si="17"/>
        <v>2</v>
      </c>
      <c r="N55" s="5">
        <f>VLOOKUP(K55,Lookup!$A$21:$B$24,2,0)</f>
        <v>5</v>
      </c>
      <c r="O55" s="5" t="s">
        <v>293</v>
      </c>
      <c r="P55" s="5" t="s">
        <v>43</v>
      </c>
      <c r="Q55" s="5">
        <f>VLOOKUP(P55,Lookup!$A$27:$B$31,2,0)</f>
        <v>3</v>
      </c>
      <c r="R55" s="6">
        <f t="shared" si="18"/>
        <v>12</v>
      </c>
      <c r="T55" s="6">
        <v>458</v>
      </c>
      <c r="U55" s="6">
        <f t="shared" si="31"/>
        <v>458</v>
      </c>
      <c r="V55" s="6">
        <f t="shared" si="19"/>
        <v>229</v>
      </c>
      <c r="W55" s="6">
        <v>50</v>
      </c>
      <c r="X55" s="18" t="s">
        <v>294</v>
      </c>
      <c r="Z55" s="33">
        <f t="shared" si="33"/>
        <v>2</v>
      </c>
      <c r="AA55" s="33">
        <v>0</v>
      </c>
      <c r="AB55" s="33">
        <f t="shared" si="20"/>
        <v>0.6</v>
      </c>
      <c r="AC55" s="33">
        <f t="shared" si="21"/>
        <v>0</v>
      </c>
      <c r="AD55" s="33">
        <f t="shared" si="22"/>
        <v>0.6</v>
      </c>
      <c r="AE55" s="33">
        <f t="shared" si="23"/>
        <v>0</v>
      </c>
      <c r="AF55" s="33">
        <f t="shared" si="24"/>
        <v>0.22400000000000003</v>
      </c>
      <c r="AG55" s="34">
        <f t="shared" si="25"/>
        <v>719.81039999999962</v>
      </c>
      <c r="AH55" s="40">
        <f t="shared" si="26"/>
        <v>105.4</v>
      </c>
      <c r="AI55" s="40">
        <f t="shared" si="27"/>
        <v>11</v>
      </c>
      <c r="AJ55" s="40">
        <f t="shared" si="28"/>
        <v>9</v>
      </c>
      <c r="AK55" s="40">
        <f t="shared" si="29"/>
        <v>7</v>
      </c>
      <c r="AL55" s="40">
        <f t="shared" si="30"/>
        <v>9</v>
      </c>
    </row>
    <row r="56" spans="1:38" x14ac:dyDescent="0.25">
      <c r="A56" s="29">
        <v>88</v>
      </c>
      <c r="B56" s="5" t="s">
        <v>290</v>
      </c>
      <c r="C56" s="5" t="s">
        <v>295</v>
      </c>
      <c r="D56" s="5" t="s">
        <v>18</v>
      </c>
      <c r="E56" s="6">
        <v>2</v>
      </c>
      <c r="F56" s="5" t="s">
        <v>20</v>
      </c>
      <c r="G56" s="5">
        <f>VLOOKUP(F56,Lookup!$A$8:$B$12,2,0)</f>
        <v>5</v>
      </c>
      <c r="H56" s="5" t="s">
        <v>296</v>
      </c>
      <c r="I56" s="5">
        <v>2</v>
      </c>
      <c r="J56" s="5">
        <f>VLOOKUP(I56,Lookup!$A$15:$B$18,2,0)</f>
        <v>3</v>
      </c>
      <c r="K56" s="5" t="s">
        <v>37</v>
      </c>
      <c r="L56" s="5">
        <f>VLOOKUP(K56,Lookup!$D$21:$E$24,2,0)</f>
        <v>2</v>
      </c>
      <c r="M56" s="6">
        <f t="shared" si="17"/>
        <v>4</v>
      </c>
      <c r="N56" s="5">
        <f>VLOOKUP(K56,Lookup!$A$21:$B$24,2,0)</f>
        <v>5</v>
      </c>
      <c r="O56" s="5" t="s">
        <v>293</v>
      </c>
      <c r="P56" s="5" t="s">
        <v>43</v>
      </c>
      <c r="Q56" s="5">
        <f>VLOOKUP(P56,Lookup!$A$27:$B$31,2,0)</f>
        <v>3</v>
      </c>
      <c r="R56" s="6">
        <f t="shared" si="18"/>
        <v>16</v>
      </c>
      <c r="T56" s="6">
        <v>749</v>
      </c>
      <c r="U56" s="6">
        <f t="shared" si="31"/>
        <v>749</v>
      </c>
      <c r="V56" s="6">
        <f t="shared" si="19"/>
        <v>374.5</v>
      </c>
      <c r="W56" s="6">
        <v>50</v>
      </c>
      <c r="X56" s="18" t="s">
        <v>120</v>
      </c>
      <c r="Z56" s="33">
        <f t="shared" si="33"/>
        <v>4</v>
      </c>
      <c r="AA56" s="33">
        <v>0</v>
      </c>
      <c r="AB56" s="33">
        <f t="shared" si="20"/>
        <v>1.2</v>
      </c>
      <c r="AC56" s="33">
        <f t="shared" si="21"/>
        <v>0</v>
      </c>
      <c r="AD56" s="33">
        <f t="shared" si="22"/>
        <v>1.2</v>
      </c>
      <c r="AE56" s="33">
        <f t="shared" si="23"/>
        <v>0</v>
      </c>
      <c r="AF56" s="33">
        <f t="shared" si="24"/>
        <v>0.44800000000000006</v>
      </c>
      <c r="AG56" s="34">
        <f t="shared" si="25"/>
        <v>726.65839999999957</v>
      </c>
      <c r="AH56" s="40">
        <f t="shared" si="26"/>
        <v>107.4</v>
      </c>
      <c r="AI56" s="40">
        <f t="shared" si="27"/>
        <v>11</v>
      </c>
      <c r="AJ56" s="40">
        <f t="shared" si="28"/>
        <v>13</v>
      </c>
      <c r="AK56" s="40">
        <f t="shared" si="29"/>
        <v>11</v>
      </c>
      <c r="AL56" s="40">
        <f t="shared" si="30"/>
        <v>13</v>
      </c>
    </row>
    <row r="57" spans="1:38" x14ac:dyDescent="0.25">
      <c r="A57" s="5">
        <v>96</v>
      </c>
      <c r="B57" s="5" t="s">
        <v>297</v>
      </c>
      <c r="C57" s="5" t="s">
        <v>298</v>
      </c>
      <c r="D57" s="5" t="s">
        <v>17</v>
      </c>
      <c r="E57" s="6">
        <v>3</v>
      </c>
      <c r="F57" s="5" t="s">
        <v>24</v>
      </c>
      <c r="G57" s="5">
        <f>VLOOKUP(F57,Lookup!$A$8:$B$12,2,0)</f>
        <v>4</v>
      </c>
      <c r="H57" s="5" t="s">
        <v>156</v>
      </c>
      <c r="I57" s="5">
        <v>2</v>
      </c>
      <c r="J57" s="5">
        <f>VLOOKUP(I57,Lookup!$A$15:$B$18,2,0)</f>
        <v>3</v>
      </c>
      <c r="K57" s="5" t="s">
        <v>35</v>
      </c>
      <c r="L57" s="5">
        <f>VLOOKUP(K57,Lookup!$D$21:$E$24,2,0)</f>
        <v>5</v>
      </c>
      <c r="M57" s="6">
        <f t="shared" si="17"/>
        <v>15</v>
      </c>
      <c r="N57" s="5">
        <f>VLOOKUP(K57,Lookup!$A$21:$B$24,2,0)</f>
        <v>3</v>
      </c>
      <c r="O57" s="5" t="s">
        <v>299</v>
      </c>
      <c r="P57" s="5" t="s">
        <v>43</v>
      </c>
      <c r="Q57" s="5">
        <f>VLOOKUP(P57,Lookup!$A$27:$B$31,2,0)</f>
        <v>3</v>
      </c>
      <c r="R57" s="6">
        <f t="shared" si="18"/>
        <v>13</v>
      </c>
      <c r="T57" s="6">
        <v>642</v>
      </c>
      <c r="U57" s="6">
        <f t="shared" si="31"/>
        <v>642</v>
      </c>
      <c r="V57" s="6">
        <f t="shared" si="19"/>
        <v>128.4</v>
      </c>
      <c r="W57" s="6">
        <v>50</v>
      </c>
      <c r="X57" s="18" t="s">
        <v>105</v>
      </c>
      <c r="Z57" s="33">
        <f t="shared" si="33"/>
        <v>15</v>
      </c>
      <c r="AA57" s="33">
        <v>0</v>
      </c>
      <c r="AB57" s="33">
        <f t="shared" si="20"/>
        <v>4.5</v>
      </c>
      <c r="AC57" s="33">
        <f t="shared" si="21"/>
        <v>0</v>
      </c>
      <c r="AD57" s="33">
        <f t="shared" si="22"/>
        <v>4.5</v>
      </c>
      <c r="AE57" s="33">
        <f t="shared" si="23"/>
        <v>0</v>
      </c>
      <c r="AF57" s="33">
        <f t="shared" si="24"/>
        <v>1.6800000000000002</v>
      </c>
      <c r="AG57" s="34">
        <f t="shared" si="25"/>
        <v>752.33839999999952</v>
      </c>
      <c r="AH57" s="40">
        <f t="shared" si="26"/>
        <v>110.4</v>
      </c>
      <c r="AI57" s="40">
        <f t="shared" si="27"/>
        <v>9</v>
      </c>
      <c r="AJ57" s="40">
        <f t="shared" si="28"/>
        <v>10</v>
      </c>
      <c r="AK57" s="40">
        <f t="shared" si="29"/>
        <v>10</v>
      </c>
      <c r="AL57" s="40">
        <f t="shared" si="30"/>
        <v>10</v>
      </c>
    </row>
    <row r="58" spans="1:38" x14ac:dyDescent="0.25">
      <c r="A58" s="29">
        <v>161</v>
      </c>
      <c r="B58" s="5" t="s">
        <v>300</v>
      </c>
      <c r="C58" s="5" t="s">
        <v>301</v>
      </c>
      <c r="D58" s="5" t="s">
        <v>17</v>
      </c>
      <c r="E58" s="6">
        <v>2.2999999999999998</v>
      </c>
      <c r="F58" s="5" t="s">
        <v>24</v>
      </c>
      <c r="G58" s="5">
        <f>VLOOKUP(F58,Lookup!$A$8:$B$12,2,0)</f>
        <v>4</v>
      </c>
      <c r="H58" s="5" t="s">
        <v>302</v>
      </c>
      <c r="I58" s="5">
        <v>1</v>
      </c>
      <c r="J58" s="5">
        <f>VLOOKUP(I58,Lookup!$A$15:$B$18,2,0)</f>
        <v>1</v>
      </c>
      <c r="K58" s="5" t="s">
        <v>37</v>
      </c>
      <c r="L58" s="5">
        <f>VLOOKUP(K58,Lookup!$D$21:$E$24,2,0)</f>
        <v>2</v>
      </c>
      <c r="M58" s="6">
        <f t="shared" si="17"/>
        <v>4.5999999999999996</v>
      </c>
      <c r="N58" s="5">
        <f>VLOOKUP(K58,Lookup!$A$21:$B$24,2,0)</f>
        <v>5</v>
      </c>
      <c r="O58" s="5" t="s">
        <v>123</v>
      </c>
      <c r="P58" s="5" t="s">
        <v>43</v>
      </c>
      <c r="Q58" s="5">
        <f>VLOOKUP(P58,Lookup!$A$27:$B$31,2,0)</f>
        <v>3</v>
      </c>
      <c r="R58" s="6">
        <f t="shared" si="18"/>
        <v>13</v>
      </c>
      <c r="S58" s="6">
        <f t="shared" ref="S58:S63" si="34">559*0.05+608*0.05</f>
        <v>58.350000000000009</v>
      </c>
      <c r="T58" s="6">
        <v>185</v>
      </c>
      <c r="U58" s="6">
        <f t="shared" si="31"/>
        <v>243.35000000000002</v>
      </c>
      <c r="V58" s="6">
        <f t="shared" si="19"/>
        <v>121.67500000000001</v>
      </c>
      <c r="W58" s="6">
        <v>50</v>
      </c>
      <c r="X58" s="18" t="s">
        <v>105</v>
      </c>
      <c r="Z58" s="33">
        <f t="shared" si="33"/>
        <v>4.5999999999999996</v>
      </c>
      <c r="AA58" s="33">
        <v>0</v>
      </c>
      <c r="AB58" s="33">
        <f t="shared" si="20"/>
        <v>1.38</v>
      </c>
      <c r="AC58" s="33">
        <f t="shared" si="21"/>
        <v>0</v>
      </c>
      <c r="AD58" s="33">
        <f t="shared" si="22"/>
        <v>1.38</v>
      </c>
      <c r="AE58" s="33">
        <f t="shared" si="23"/>
        <v>0</v>
      </c>
      <c r="AF58" s="33">
        <f t="shared" si="24"/>
        <v>0.51519999999999999</v>
      </c>
      <c r="AG58" s="34">
        <f t="shared" si="25"/>
        <v>760.21359999999947</v>
      </c>
      <c r="AH58" s="40">
        <f t="shared" si="26"/>
        <v>112.7</v>
      </c>
      <c r="AI58" s="40">
        <f t="shared" si="27"/>
        <v>9</v>
      </c>
      <c r="AJ58" s="40">
        <f t="shared" si="28"/>
        <v>12</v>
      </c>
      <c r="AK58" s="40">
        <f t="shared" si="29"/>
        <v>8</v>
      </c>
      <c r="AL58" s="40">
        <f t="shared" si="30"/>
        <v>10</v>
      </c>
    </row>
    <row r="59" spans="1:38" x14ac:dyDescent="0.25">
      <c r="A59" s="5">
        <v>162</v>
      </c>
      <c r="B59" s="5" t="s">
        <v>300</v>
      </c>
      <c r="C59" s="5" t="s">
        <v>303</v>
      </c>
      <c r="D59" s="5" t="s">
        <v>17</v>
      </c>
      <c r="E59" s="6">
        <v>2.2000000000000002</v>
      </c>
      <c r="F59" s="5" t="s">
        <v>24</v>
      </c>
      <c r="G59" s="5">
        <f>VLOOKUP(F59,Lookup!$A$8:$B$12,2,0)</f>
        <v>4</v>
      </c>
      <c r="H59" s="5" t="s">
        <v>302</v>
      </c>
      <c r="I59" s="5">
        <v>2</v>
      </c>
      <c r="J59" s="5">
        <f>VLOOKUP(I59,Lookup!$A$15:$B$18,2,0)</f>
        <v>3</v>
      </c>
      <c r="K59" s="5" t="s">
        <v>37</v>
      </c>
      <c r="L59" s="5">
        <f>VLOOKUP(K59,Lookup!$D$21:$E$24,2,0)</f>
        <v>2</v>
      </c>
      <c r="M59" s="6">
        <f t="shared" si="17"/>
        <v>4.4000000000000004</v>
      </c>
      <c r="N59" s="5">
        <f>VLOOKUP(K59,Lookup!$A$21:$B$24,2,0)</f>
        <v>5</v>
      </c>
      <c r="O59" s="5" t="s">
        <v>123</v>
      </c>
      <c r="P59" s="5" t="s">
        <v>44</v>
      </c>
      <c r="Q59" s="5">
        <f>VLOOKUP(P59,Lookup!$A$27:$B$31,2,0)</f>
        <v>2</v>
      </c>
      <c r="R59" s="6">
        <f t="shared" si="18"/>
        <v>14</v>
      </c>
      <c r="S59" s="6">
        <f t="shared" si="34"/>
        <v>58.350000000000009</v>
      </c>
      <c r="T59" s="6">
        <v>212</v>
      </c>
      <c r="U59" s="6">
        <f t="shared" si="31"/>
        <v>270.35000000000002</v>
      </c>
      <c r="V59" s="6">
        <f t="shared" si="19"/>
        <v>135.17500000000001</v>
      </c>
      <c r="W59" s="6">
        <v>50</v>
      </c>
      <c r="X59" s="18" t="s">
        <v>105</v>
      </c>
      <c r="Z59" s="33">
        <f t="shared" si="33"/>
        <v>4.4000000000000004</v>
      </c>
      <c r="AA59" s="33">
        <v>0</v>
      </c>
      <c r="AB59" s="33">
        <f t="shared" si="20"/>
        <v>1.32</v>
      </c>
      <c r="AC59" s="33">
        <f t="shared" si="21"/>
        <v>0</v>
      </c>
      <c r="AD59" s="33">
        <f t="shared" si="22"/>
        <v>1.32</v>
      </c>
      <c r="AE59" s="33">
        <f t="shared" si="23"/>
        <v>0</v>
      </c>
      <c r="AF59" s="33">
        <f t="shared" si="24"/>
        <v>0.49280000000000013</v>
      </c>
      <c r="AG59" s="34">
        <f t="shared" si="25"/>
        <v>767.74639999999943</v>
      </c>
      <c r="AH59" s="40">
        <f t="shared" si="26"/>
        <v>114.9</v>
      </c>
      <c r="AI59" s="40">
        <f t="shared" si="27"/>
        <v>10</v>
      </c>
      <c r="AJ59" s="40">
        <f t="shared" si="28"/>
        <v>11</v>
      </c>
      <c r="AK59" s="40">
        <f t="shared" si="29"/>
        <v>9</v>
      </c>
      <c r="AL59" s="40">
        <f t="shared" si="30"/>
        <v>12</v>
      </c>
    </row>
    <row r="60" spans="1:38" x14ac:dyDescent="0.25">
      <c r="A60" s="29">
        <v>164</v>
      </c>
      <c r="B60" s="5" t="s">
        <v>300</v>
      </c>
      <c r="C60" s="5" t="s">
        <v>304</v>
      </c>
      <c r="D60" s="5" t="s">
        <v>17</v>
      </c>
      <c r="E60" s="6">
        <v>0.5</v>
      </c>
      <c r="F60" s="5" t="s">
        <v>26</v>
      </c>
      <c r="G60" s="5">
        <f>VLOOKUP(F60,Lookup!$A$8:$B$12,2,0)</f>
        <v>1</v>
      </c>
      <c r="H60" s="5" t="s">
        <v>305</v>
      </c>
      <c r="I60" s="5">
        <v>3</v>
      </c>
      <c r="J60" s="5">
        <f>VLOOKUP(I60,Lookup!$A$15:$B$18,2,0)</f>
        <v>5</v>
      </c>
      <c r="K60" s="5" t="s">
        <v>37</v>
      </c>
      <c r="L60" s="5">
        <f>VLOOKUP(K60,Lookup!$D$21:$E$24,2,0)</f>
        <v>2</v>
      </c>
      <c r="M60" s="6">
        <f t="shared" si="17"/>
        <v>1</v>
      </c>
      <c r="N60" s="5">
        <f>VLOOKUP(K60,Lookup!$A$21:$B$24,2,0)</f>
        <v>5</v>
      </c>
      <c r="O60" s="5" t="s">
        <v>278</v>
      </c>
      <c r="P60" s="5" t="s">
        <v>43</v>
      </c>
      <c r="Q60" s="5">
        <f>VLOOKUP(P60,Lookup!$A$27:$B$31,2,0)</f>
        <v>3</v>
      </c>
      <c r="R60" s="6">
        <f t="shared" si="18"/>
        <v>14</v>
      </c>
      <c r="S60" s="6">
        <f t="shared" si="34"/>
        <v>58.350000000000009</v>
      </c>
      <c r="T60" s="6">
        <v>149</v>
      </c>
      <c r="U60" s="6">
        <f t="shared" si="31"/>
        <v>207.35000000000002</v>
      </c>
      <c r="V60" s="6">
        <f t="shared" si="19"/>
        <v>103.67500000000001</v>
      </c>
      <c r="W60" s="6">
        <v>50</v>
      </c>
      <c r="X60" s="18" t="s">
        <v>105</v>
      </c>
      <c r="Z60" s="33">
        <f t="shared" si="33"/>
        <v>1</v>
      </c>
      <c r="AA60" s="33">
        <v>22</v>
      </c>
      <c r="AB60" s="33">
        <f t="shared" si="20"/>
        <v>0.3</v>
      </c>
      <c r="AC60" s="33">
        <f t="shared" si="21"/>
        <v>6.6</v>
      </c>
      <c r="AD60" s="33">
        <f t="shared" si="22"/>
        <v>0.3</v>
      </c>
      <c r="AE60" s="33">
        <f t="shared" si="23"/>
        <v>6.6</v>
      </c>
      <c r="AF60" s="33">
        <f t="shared" si="24"/>
        <v>2.5760000000000001</v>
      </c>
      <c r="AG60" s="34">
        <f t="shared" si="25"/>
        <v>807.1223999999994</v>
      </c>
      <c r="AH60" s="40">
        <f t="shared" si="26"/>
        <v>115.4</v>
      </c>
      <c r="AI60" s="40">
        <f t="shared" si="27"/>
        <v>13</v>
      </c>
      <c r="AJ60" s="40">
        <f t="shared" si="28"/>
        <v>9</v>
      </c>
      <c r="AK60" s="40">
        <f t="shared" si="29"/>
        <v>9</v>
      </c>
      <c r="AL60" s="40">
        <f t="shared" si="30"/>
        <v>11</v>
      </c>
    </row>
    <row r="61" spans="1:38" x14ac:dyDescent="0.25">
      <c r="A61" s="5">
        <v>165</v>
      </c>
      <c r="B61" s="5" t="s">
        <v>300</v>
      </c>
      <c r="C61" s="5" t="s">
        <v>306</v>
      </c>
      <c r="D61" s="5" t="s">
        <v>17</v>
      </c>
      <c r="E61" s="6">
        <v>2</v>
      </c>
      <c r="F61" s="5" t="s">
        <v>28</v>
      </c>
      <c r="G61" s="5">
        <f>VLOOKUP(F61,Lookup!$A$8:$B$12,2,0)</f>
        <v>0</v>
      </c>
      <c r="I61" s="5">
        <v>3</v>
      </c>
      <c r="J61" s="5">
        <f>VLOOKUP(I61,Lookup!$A$15:$B$18,2,0)</f>
        <v>5</v>
      </c>
      <c r="K61" s="5" t="s">
        <v>37</v>
      </c>
      <c r="L61" s="5">
        <f>VLOOKUP(K61,Lookup!$D$21:$E$24,2,0)</f>
        <v>2</v>
      </c>
      <c r="M61" s="6">
        <f t="shared" si="17"/>
        <v>4</v>
      </c>
      <c r="N61" s="5">
        <f>VLOOKUP(K61,Lookup!$A$21:$B$24,2,0)</f>
        <v>5</v>
      </c>
      <c r="O61" s="5" t="s">
        <v>307</v>
      </c>
      <c r="P61" s="5" t="s">
        <v>43</v>
      </c>
      <c r="Q61" s="5">
        <f>VLOOKUP(P61,Lookup!$A$27:$B$31,2,0)</f>
        <v>3</v>
      </c>
      <c r="R61" s="6">
        <f t="shared" si="18"/>
        <v>13</v>
      </c>
      <c r="S61" s="6">
        <f t="shared" si="34"/>
        <v>58.350000000000009</v>
      </c>
      <c r="T61" s="6">
        <v>178</v>
      </c>
      <c r="U61" s="6">
        <f t="shared" si="31"/>
        <v>236.35000000000002</v>
      </c>
      <c r="V61" s="6">
        <f t="shared" si="19"/>
        <v>118.17500000000001</v>
      </c>
      <c r="W61" s="6">
        <v>50</v>
      </c>
      <c r="X61" s="18" t="s">
        <v>105</v>
      </c>
      <c r="Z61" s="33">
        <f t="shared" si="33"/>
        <v>4</v>
      </c>
      <c r="AA61" s="33">
        <v>0</v>
      </c>
      <c r="AB61" s="33">
        <f t="shared" si="20"/>
        <v>1.2</v>
      </c>
      <c r="AC61" s="33">
        <f t="shared" si="21"/>
        <v>0</v>
      </c>
      <c r="AD61" s="33">
        <f t="shared" si="22"/>
        <v>1.2</v>
      </c>
      <c r="AE61" s="33">
        <f t="shared" si="23"/>
        <v>0</v>
      </c>
      <c r="AF61" s="33">
        <f t="shared" si="24"/>
        <v>0.44800000000000006</v>
      </c>
      <c r="AG61" s="34">
        <f t="shared" si="25"/>
        <v>813.97039999999936</v>
      </c>
      <c r="AH61" s="40">
        <f t="shared" si="26"/>
        <v>117.4</v>
      </c>
      <c r="AI61" s="40">
        <f t="shared" si="27"/>
        <v>13</v>
      </c>
      <c r="AJ61" s="40">
        <f t="shared" si="28"/>
        <v>8</v>
      </c>
      <c r="AK61" s="40">
        <f t="shared" si="29"/>
        <v>8</v>
      </c>
      <c r="AL61" s="40">
        <f t="shared" si="30"/>
        <v>10</v>
      </c>
    </row>
    <row r="62" spans="1:38" x14ac:dyDescent="0.25">
      <c r="A62" s="29">
        <v>167</v>
      </c>
      <c r="B62" s="5" t="s">
        <v>300</v>
      </c>
      <c r="C62" s="5" t="s">
        <v>308</v>
      </c>
      <c r="D62" s="5" t="s">
        <v>17</v>
      </c>
      <c r="E62" s="6">
        <v>1.2</v>
      </c>
      <c r="F62" s="5" t="s">
        <v>28</v>
      </c>
      <c r="G62" s="5">
        <f>VLOOKUP(F62,Lookup!$A$8:$B$12,2,0)</f>
        <v>0</v>
      </c>
      <c r="I62" s="5">
        <v>3</v>
      </c>
      <c r="J62" s="5">
        <f>VLOOKUP(I62,Lookup!$A$15:$B$18,2,0)</f>
        <v>5</v>
      </c>
      <c r="K62" s="5" t="s">
        <v>37</v>
      </c>
      <c r="L62" s="5">
        <f>VLOOKUP(K62,Lookup!$D$21:$E$24,2,0)</f>
        <v>2</v>
      </c>
      <c r="M62" s="6">
        <f t="shared" si="17"/>
        <v>2.4</v>
      </c>
      <c r="N62" s="5">
        <f>VLOOKUP(K62,Lookup!$A$21:$B$24,2,0)</f>
        <v>5</v>
      </c>
      <c r="O62" s="5" t="s">
        <v>309</v>
      </c>
      <c r="P62" s="5" t="s">
        <v>43</v>
      </c>
      <c r="Q62" s="5">
        <f>VLOOKUP(P62,Lookup!$A$27:$B$31,2,0)</f>
        <v>3</v>
      </c>
      <c r="R62" s="6">
        <f t="shared" si="18"/>
        <v>13</v>
      </c>
      <c r="S62" s="6">
        <f t="shared" si="34"/>
        <v>58.350000000000009</v>
      </c>
      <c r="T62" s="6">
        <v>132</v>
      </c>
      <c r="U62" s="6">
        <f t="shared" si="31"/>
        <v>190.35000000000002</v>
      </c>
      <c r="V62" s="6">
        <f t="shared" si="19"/>
        <v>95.175000000000011</v>
      </c>
      <c r="W62" s="6">
        <v>50</v>
      </c>
      <c r="X62" s="18" t="s">
        <v>105</v>
      </c>
      <c r="Z62" s="33">
        <f t="shared" si="33"/>
        <v>2.4</v>
      </c>
      <c r="AA62" s="33">
        <v>0</v>
      </c>
      <c r="AB62" s="33">
        <f t="shared" si="20"/>
        <v>0.72</v>
      </c>
      <c r="AC62" s="33">
        <f t="shared" si="21"/>
        <v>0</v>
      </c>
      <c r="AD62" s="33">
        <f t="shared" si="22"/>
        <v>0.72</v>
      </c>
      <c r="AE62" s="33">
        <f t="shared" si="23"/>
        <v>0</v>
      </c>
      <c r="AF62" s="33">
        <f t="shared" si="24"/>
        <v>0.26880000000000004</v>
      </c>
      <c r="AG62" s="34">
        <f t="shared" si="25"/>
        <v>818.07919999999933</v>
      </c>
      <c r="AH62" s="40">
        <f t="shared" si="26"/>
        <v>118.60000000000001</v>
      </c>
      <c r="AI62" s="40">
        <f t="shared" si="27"/>
        <v>13</v>
      </c>
      <c r="AJ62" s="40">
        <f t="shared" si="28"/>
        <v>8</v>
      </c>
      <c r="AK62" s="40">
        <f t="shared" si="29"/>
        <v>8</v>
      </c>
      <c r="AL62" s="40">
        <f t="shared" si="30"/>
        <v>10</v>
      </c>
    </row>
    <row r="63" spans="1:38" s="24" customFormat="1" x14ac:dyDescent="0.25">
      <c r="A63" s="43">
        <v>172</v>
      </c>
      <c r="B63" s="24" t="s">
        <v>300</v>
      </c>
      <c r="C63" s="24" t="s">
        <v>310</v>
      </c>
      <c r="D63" s="24" t="s">
        <v>18</v>
      </c>
      <c r="E63" s="31">
        <v>2</v>
      </c>
      <c r="F63" s="24" t="s">
        <v>24</v>
      </c>
      <c r="G63" s="24">
        <f>VLOOKUP(F63,Lookup!$A$8:$B$12,2,0)</f>
        <v>4</v>
      </c>
      <c r="H63" s="24" t="s">
        <v>311</v>
      </c>
      <c r="I63" s="24">
        <v>3</v>
      </c>
      <c r="J63" s="24">
        <f>VLOOKUP(I63,Lookup!$A$15:$B$18,2,0)</f>
        <v>5</v>
      </c>
      <c r="K63" s="24" t="s">
        <v>35</v>
      </c>
      <c r="L63" s="24">
        <f>VLOOKUP(K63,Lookup!$D$21:$E$24,2,0)</f>
        <v>5</v>
      </c>
      <c r="M63" s="31">
        <f t="shared" si="17"/>
        <v>10</v>
      </c>
      <c r="N63" s="24">
        <f>VLOOKUP(K63,Lookup!$A$21:$B$24,2,0)</f>
        <v>3</v>
      </c>
      <c r="O63" s="24" t="s">
        <v>312</v>
      </c>
      <c r="P63" s="24" t="s">
        <v>44</v>
      </c>
      <c r="Q63" s="24">
        <f>VLOOKUP(P63,Lookup!$A$27:$B$31,2,0)</f>
        <v>2</v>
      </c>
      <c r="R63" s="31">
        <f t="shared" si="18"/>
        <v>14</v>
      </c>
      <c r="S63" s="31">
        <f t="shared" si="34"/>
        <v>58.350000000000009</v>
      </c>
      <c r="T63" s="31">
        <v>129</v>
      </c>
      <c r="U63" s="31">
        <f t="shared" si="31"/>
        <v>187.35000000000002</v>
      </c>
      <c r="V63" s="31">
        <f t="shared" si="19"/>
        <v>37.470000000000006</v>
      </c>
      <c r="W63" s="31">
        <v>50</v>
      </c>
      <c r="X63" s="44" t="s">
        <v>216</v>
      </c>
      <c r="Y63" s="24" t="s">
        <v>313</v>
      </c>
      <c r="Z63" s="35">
        <f t="shared" si="33"/>
        <v>10</v>
      </c>
      <c r="AA63" s="35">
        <v>0</v>
      </c>
      <c r="AB63" s="35">
        <f t="shared" si="20"/>
        <v>3</v>
      </c>
      <c r="AC63" s="35">
        <f t="shared" si="21"/>
        <v>0</v>
      </c>
      <c r="AD63" s="35">
        <f t="shared" si="22"/>
        <v>3</v>
      </c>
      <c r="AE63" s="35">
        <f t="shared" si="23"/>
        <v>0</v>
      </c>
      <c r="AF63" s="35">
        <f t="shared" si="24"/>
        <v>1.1200000000000001</v>
      </c>
      <c r="AG63" s="38">
        <f t="shared" si="25"/>
        <v>835.19919999999934</v>
      </c>
      <c r="AH63" s="45">
        <f t="shared" si="26"/>
        <v>120.60000000000001</v>
      </c>
      <c r="AI63" s="40">
        <f t="shared" si="27"/>
        <v>10</v>
      </c>
      <c r="AJ63" s="40">
        <f t="shared" si="28"/>
        <v>9</v>
      </c>
      <c r="AK63" s="40">
        <f t="shared" si="29"/>
        <v>11</v>
      </c>
      <c r="AL63" s="40">
        <f t="shared" si="30"/>
        <v>12</v>
      </c>
    </row>
    <row r="64" spans="1:38" x14ac:dyDescent="0.25">
      <c r="A64" s="29">
        <v>53</v>
      </c>
      <c r="B64" s="5" t="s">
        <v>314</v>
      </c>
      <c r="C64" s="5" t="s">
        <v>315</v>
      </c>
      <c r="D64" s="5" t="s">
        <v>17</v>
      </c>
      <c r="E64" s="6">
        <v>2</v>
      </c>
      <c r="F64" s="5" t="s">
        <v>24</v>
      </c>
      <c r="G64" s="5">
        <f>VLOOKUP(F64,Lookup!$A$8:$B$12,2,0)</f>
        <v>4</v>
      </c>
      <c r="H64" s="5" t="s">
        <v>316</v>
      </c>
      <c r="I64" s="5">
        <v>2</v>
      </c>
      <c r="J64" s="5">
        <f>VLOOKUP(I64,Lookup!$A$15:$B$18,2,0)</f>
        <v>3</v>
      </c>
      <c r="K64" s="5" t="s">
        <v>37</v>
      </c>
      <c r="L64" s="5">
        <f>VLOOKUP(K64,Lookup!$D$21:$E$24,2,0)</f>
        <v>2</v>
      </c>
      <c r="M64" s="6">
        <f t="shared" si="17"/>
        <v>4</v>
      </c>
      <c r="N64" s="5">
        <f>VLOOKUP(K64,Lookup!$A$21:$B$24,2,0)</f>
        <v>5</v>
      </c>
      <c r="O64" s="5" t="s">
        <v>211</v>
      </c>
      <c r="P64" s="5" t="s">
        <v>43</v>
      </c>
      <c r="Q64" s="5">
        <f>VLOOKUP(P64,Lookup!$A$27:$B$31,2,0)</f>
        <v>3</v>
      </c>
      <c r="R64" s="6">
        <f t="shared" si="18"/>
        <v>15</v>
      </c>
      <c r="T64" s="6">
        <v>199</v>
      </c>
      <c r="U64" s="6">
        <f t="shared" si="31"/>
        <v>199</v>
      </c>
      <c r="V64" s="6">
        <f t="shared" si="19"/>
        <v>99.5</v>
      </c>
      <c r="W64" s="6">
        <v>60</v>
      </c>
      <c r="X64" s="18" t="s">
        <v>120</v>
      </c>
      <c r="Z64" s="33">
        <f t="shared" si="33"/>
        <v>4</v>
      </c>
      <c r="AA64" s="33">
        <v>0</v>
      </c>
      <c r="AB64" s="33">
        <f t="shared" si="20"/>
        <v>1.2</v>
      </c>
      <c r="AC64" s="33">
        <f t="shared" si="21"/>
        <v>0</v>
      </c>
      <c r="AD64" s="33">
        <f t="shared" si="22"/>
        <v>1.2</v>
      </c>
      <c r="AE64" s="33">
        <f t="shared" si="23"/>
        <v>0</v>
      </c>
      <c r="AF64" s="33">
        <f t="shared" si="24"/>
        <v>0.44800000000000006</v>
      </c>
      <c r="AG64" s="34">
        <f t="shared" si="25"/>
        <v>842.04719999999929</v>
      </c>
      <c r="AH64" s="40">
        <f t="shared" si="26"/>
        <v>122.60000000000001</v>
      </c>
      <c r="AI64" s="40">
        <f t="shared" si="27"/>
        <v>11</v>
      </c>
      <c r="AJ64" s="40">
        <f t="shared" si="28"/>
        <v>12</v>
      </c>
      <c r="AK64" s="40">
        <f t="shared" si="29"/>
        <v>10</v>
      </c>
      <c r="AL64" s="40">
        <f t="shared" si="30"/>
        <v>12</v>
      </c>
    </row>
    <row r="65" spans="1:38" x14ac:dyDescent="0.25">
      <c r="A65" s="5">
        <v>54</v>
      </c>
      <c r="B65" s="5" t="s">
        <v>82</v>
      </c>
      <c r="C65" s="5" t="s">
        <v>317</v>
      </c>
      <c r="D65" s="5" t="s">
        <v>15</v>
      </c>
      <c r="E65" s="6">
        <v>1.5</v>
      </c>
      <c r="F65" s="5" t="s">
        <v>24</v>
      </c>
      <c r="G65" s="5">
        <f>VLOOKUP(F65,Lookup!$A$8:$B$12,2,0)</f>
        <v>4</v>
      </c>
      <c r="H65" s="5" t="s">
        <v>318</v>
      </c>
      <c r="I65" s="5">
        <v>4</v>
      </c>
      <c r="J65" s="5">
        <f>VLOOKUP(I65,Lookup!$A$15:$B$18,2,0)</f>
        <v>5</v>
      </c>
      <c r="K65" s="5" t="s">
        <v>33</v>
      </c>
      <c r="L65" s="5">
        <f>VLOOKUP(K65,Lookup!$D$21:$E$24,2,0)</f>
        <v>10</v>
      </c>
      <c r="M65" s="6">
        <f t="shared" si="17"/>
        <v>15</v>
      </c>
      <c r="N65" s="5">
        <f>VLOOKUP(K65,Lookup!$A$21:$B$24,2,0)</f>
        <v>2</v>
      </c>
      <c r="O65" s="5" t="s">
        <v>319</v>
      </c>
      <c r="P65" s="5" t="s">
        <v>43</v>
      </c>
      <c r="Q65" s="5">
        <f>VLOOKUP(P65,Lookup!$A$27:$B$31,2,0)</f>
        <v>3</v>
      </c>
      <c r="R65" s="6">
        <f t="shared" si="18"/>
        <v>14</v>
      </c>
      <c r="T65" s="6">
        <v>452</v>
      </c>
      <c r="U65" s="6">
        <f t="shared" si="31"/>
        <v>452</v>
      </c>
      <c r="V65" s="6">
        <f t="shared" si="19"/>
        <v>45.2</v>
      </c>
      <c r="W65" s="6">
        <v>60</v>
      </c>
      <c r="X65" s="18" t="s">
        <v>320</v>
      </c>
      <c r="Y65" s="5" t="s">
        <v>113</v>
      </c>
      <c r="Z65" s="33">
        <f t="shared" si="33"/>
        <v>15</v>
      </c>
      <c r="AA65" s="33">
        <v>0</v>
      </c>
      <c r="AB65" s="33">
        <f t="shared" si="20"/>
        <v>4.5</v>
      </c>
      <c r="AC65" s="33">
        <f t="shared" si="21"/>
        <v>0</v>
      </c>
      <c r="AD65" s="33">
        <f t="shared" si="22"/>
        <v>4.5</v>
      </c>
      <c r="AE65" s="33">
        <f t="shared" si="23"/>
        <v>0</v>
      </c>
      <c r="AF65" s="33">
        <f t="shared" si="24"/>
        <v>1.6800000000000002</v>
      </c>
      <c r="AG65" s="34">
        <f t="shared" si="25"/>
        <v>867.72719999999924</v>
      </c>
      <c r="AH65" s="40">
        <f t="shared" si="26"/>
        <v>124.10000000000001</v>
      </c>
      <c r="AI65" s="40">
        <f t="shared" si="27"/>
        <v>10</v>
      </c>
      <c r="AJ65" s="40">
        <f t="shared" si="28"/>
        <v>9</v>
      </c>
      <c r="AK65" s="40">
        <f t="shared" si="29"/>
        <v>12</v>
      </c>
      <c r="AL65" s="40">
        <f t="shared" si="30"/>
        <v>11</v>
      </c>
    </row>
    <row r="66" spans="1:38" s="47" customFormat="1" x14ac:dyDescent="0.25">
      <c r="A66" s="46">
        <v>62</v>
      </c>
      <c r="B66" s="47" t="s">
        <v>82</v>
      </c>
      <c r="C66" s="47" t="s">
        <v>321</v>
      </c>
      <c r="D66" s="47" t="s">
        <v>17</v>
      </c>
      <c r="E66" s="48">
        <v>2.4</v>
      </c>
      <c r="F66" s="47" t="s">
        <v>22</v>
      </c>
      <c r="G66" s="47">
        <f>VLOOKUP(F66,Lookup!$A$8:$B$12,2,0)</f>
        <v>3</v>
      </c>
      <c r="H66" s="47" t="s">
        <v>249</v>
      </c>
      <c r="I66" s="47">
        <v>3</v>
      </c>
      <c r="J66" s="47">
        <f>VLOOKUP(I66,Lookup!$A$15:$B$18,2,0)</f>
        <v>5</v>
      </c>
      <c r="K66" s="47" t="s">
        <v>35</v>
      </c>
      <c r="L66" s="47">
        <f>VLOOKUP(K66,Lookup!$D$21:$E$24,2,0)</f>
        <v>5</v>
      </c>
      <c r="M66" s="48">
        <f t="shared" si="17"/>
        <v>12</v>
      </c>
      <c r="N66" s="47">
        <f>VLOOKUP(K66,Lookup!$A$21:$B$24,2,0)</f>
        <v>3</v>
      </c>
      <c r="O66" s="47" t="s">
        <v>322</v>
      </c>
      <c r="P66" s="47" t="s">
        <v>42</v>
      </c>
      <c r="Q66" s="47">
        <f>VLOOKUP(P66,Lookup!$A$27:$B$31,2,0)</f>
        <v>4</v>
      </c>
      <c r="R66" s="48">
        <f t="shared" si="18"/>
        <v>15</v>
      </c>
      <c r="S66" s="48"/>
      <c r="T66" s="48">
        <v>200</v>
      </c>
      <c r="U66" s="48">
        <f t="shared" si="31"/>
        <v>200</v>
      </c>
      <c r="V66" s="48">
        <f t="shared" si="19"/>
        <v>40</v>
      </c>
      <c r="W66" s="48">
        <v>60</v>
      </c>
      <c r="X66" s="49" t="s">
        <v>323</v>
      </c>
      <c r="Y66" s="47" t="s">
        <v>324</v>
      </c>
      <c r="Z66" s="50">
        <f t="shared" si="33"/>
        <v>12</v>
      </c>
      <c r="AA66" s="50">
        <v>0</v>
      </c>
      <c r="AB66" s="50">
        <f t="shared" si="20"/>
        <v>3.5999999999999996</v>
      </c>
      <c r="AC66" s="50">
        <f t="shared" si="21"/>
        <v>0</v>
      </c>
      <c r="AD66" s="50">
        <f t="shared" si="22"/>
        <v>3.5999999999999996</v>
      </c>
      <c r="AE66" s="50">
        <f t="shared" si="23"/>
        <v>0</v>
      </c>
      <c r="AF66" s="50">
        <f t="shared" si="24"/>
        <v>1.3440000000000001</v>
      </c>
      <c r="AG66" s="51">
        <f t="shared" si="25"/>
        <v>888.27119999999923</v>
      </c>
      <c r="AH66" s="52">
        <f t="shared" si="26"/>
        <v>126.50000000000001</v>
      </c>
      <c r="AI66" s="40">
        <f t="shared" si="27"/>
        <v>12</v>
      </c>
      <c r="AJ66" s="40">
        <f t="shared" si="28"/>
        <v>10</v>
      </c>
      <c r="AK66" s="40">
        <f t="shared" si="29"/>
        <v>12</v>
      </c>
      <c r="AL66" s="40">
        <f t="shared" si="30"/>
        <v>11</v>
      </c>
    </row>
    <row r="67" spans="1:38" x14ac:dyDescent="0.25">
      <c r="A67" s="5">
        <v>99</v>
      </c>
      <c r="B67" s="5" t="s">
        <v>154</v>
      </c>
      <c r="C67" s="5" t="s">
        <v>325</v>
      </c>
      <c r="D67" s="5" t="s">
        <v>15</v>
      </c>
      <c r="E67" s="6">
        <v>5</v>
      </c>
      <c r="F67" s="5" t="s">
        <v>24</v>
      </c>
      <c r="G67" s="5">
        <f>VLOOKUP(F67,Lookup!$A$8:$B$12,2,0)</f>
        <v>4</v>
      </c>
      <c r="H67" s="5" t="s">
        <v>326</v>
      </c>
      <c r="I67" s="5">
        <v>2</v>
      </c>
      <c r="J67" s="5">
        <f>VLOOKUP(I67,Lookup!$A$15:$B$18,2,0)</f>
        <v>3</v>
      </c>
      <c r="K67" s="5" t="s">
        <v>35</v>
      </c>
      <c r="L67" s="5">
        <f>VLOOKUP(K67,Lookup!$D$21:$E$24,2,0)</f>
        <v>5</v>
      </c>
      <c r="M67" s="6">
        <f t="shared" ref="M67:M98" si="35">E67*L67</f>
        <v>25</v>
      </c>
      <c r="N67" s="5">
        <f>VLOOKUP(K67,Lookup!$A$21:$B$24,2,0)</f>
        <v>3</v>
      </c>
      <c r="O67" s="5" t="s">
        <v>237</v>
      </c>
      <c r="P67" s="5" t="s">
        <v>43</v>
      </c>
      <c r="Q67" s="5">
        <f>VLOOKUP(P67,Lookup!$A$27:$B$31,2,0)</f>
        <v>3</v>
      </c>
      <c r="R67" s="6">
        <f t="shared" ref="R67:R98" si="36">G67+J67+N67+Q67</f>
        <v>13</v>
      </c>
      <c r="T67" s="6">
        <v>644</v>
      </c>
      <c r="U67" s="6">
        <f t="shared" si="31"/>
        <v>644</v>
      </c>
      <c r="V67" s="6">
        <f t="shared" ref="V67:V98" si="37">(IF(ISBLANK(U67)=TRUE,20,U67)*E67)/M67</f>
        <v>128.80000000000001</v>
      </c>
      <c r="W67" s="6">
        <v>60</v>
      </c>
      <c r="X67" s="18" t="s">
        <v>105</v>
      </c>
      <c r="Y67" s="5" t="s">
        <v>327</v>
      </c>
      <c r="Z67" s="33">
        <v>0</v>
      </c>
      <c r="AA67" s="33">
        <v>25</v>
      </c>
      <c r="AB67" s="33">
        <f t="shared" ref="AB67:AB98" si="38">Z67*0.3</f>
        <v>0</v>
      </c>
      <c r="AC67" s="33">
        <f t="shared" ref="AC67:AC98" si="39">AA67*0.3</f>
        <v>7.5</v>
      </c>
      <c r="AD67" s="33">
        <f t="shared" ref="AD67:AD98" si="40">Z67*0.3</f>
        <v>0</v>
      </c>
      <c r="AE67" s="33">
        <f t="shared" ref="AE67:AE98" si="41">AA67*0.3</f>
        <v>7.5</v>
      </c>
      <c r="AF67" s="33">
        <f t="shared" ref="AF67:AF98" si="42">SUM(Z67:AE67)*0.07</f>
        <v>2.8000000000000003</v>
      </c>
      <c r="AG67" s="34">
        <f t="shared" ref="AG67:AG98" si="43">SUM(Z67:AF67)+AG66</f>
        <v>931.07119999999918</v>
      </c>
      <c r="AH67" s="40">
        <f t="shared" ref="AH67:AH98" si="44">AH66+E67</f>
        <v>131.5</v>
      </c>
      <c r="AI67" s="40">
        <f t="shared" ref="AI67:AI98" si="45">R67-G67</f>
        <v>9</v>
      </c>
      <c r="AJ67" s="40">
        <f t="shared" ref="AJ67:AJ98" si="46">R67-J67</f>
        <v>10</v>
      </c>
      <c r="AK67" s="40">
        <f t="shared" ref="AK67:AK98" si="47">R67-N67</f>
        <v>10</v>
      </c>
      <c r="AL67" s="40">
        <f t="shared" ref="AL67:AL98" si="48">R67-Q67</f>
        <v>10</v>
      </c>
    </row>
    <row r="68" spans="1:38" x14ac:dyDescent="0.25">
      <c r="A68" s="5">
        <v>108</v>
      </c>
      <c r="B68" s="5" t="s">
        <v>164</v>
      </c>
      <c r="C68" s="5" t="s">
        <v>328</v>
      </c>
      <c r="D68" s="5" t="s">
        <v>17</v>
      </c>
      <c r="E68" s="6">
        <v>0.8</v>
      </c>
      <c r="F68" s="5" t="s">
        <v>20</v>
      </c>
      <c r="G68" s="5">
        <f>VLOOKUP(F68,Lookup!$A$8:$B$12,2,0)</f>
        <v>5</v>
      </c>
      <c r="H68" s="5" t="s">
        <v>329</v>
      </c>
      <c r="I68" s="5">
        <v>2</v>
      </c>
      <c r="J68" s="5">
        <f>VLOOKUP(I68,Lookup!$A$15:$B$18,2,0)</f>
        <v>3</v>
      </c>
      <c r="K68" s="5" t="s">
        <v>37</v>
      </c>
      <c r="L68" s="5">
        <f>VLOOKUP(K68,Lookup!$D$21:$E$24,2,0)</f>
        <v>2</v>
      </c>
      <c r="M68" s="6">
        <f t="shared" si="35"/>
        <v>1.6</v>
      </c>
      <c r="N68" s="5">
        <f>VLOOKUP(K68,Lookup!$A$21:$B$24,2,0)</f>
        <v>5</v>
      </c>
      <c r="O68" s="5" t="s">
        <v>330</v>
      </c>
      <c r="P68" s="5" t="s">
        <v>45</v>
      </c>
      <c r="Q68" s="5">
        <f>VLOOKUP(P68,Lookup!$A$27:$B$31,2,0)</f>
        <v>1</v>
      </c>
      <c r="R68" s="6">
        <f t="shared" si="36"/>
        <v>14</v>
      </c>
      <c r="S68" s="6">
        <f>303*0.1</f>
        <v>30.3</v>
      </c>
      <c r="T68" s="6">
        <v>276</v>
      </c>
      <c r="U68" s="6">
        <f t="shared" si="31"/>
        <v>306.3</v>
      </c>
      <c r="V68" s="6">
        <f t="shared" si="37"/>
        <v>153.15</v>
      </c>
      <c r="W68" s="6">
        <v>60</v>
      </c>
      <c r="X68" s="18" t="s">
        <v>105</v>
      </c>
      <c r="Y68" s="5" t="s">
        <v>331</v>
      </c>
      <c r="Z68" s="33">
        <f>M68</f>
        <v>1.6</v>
      </c>
      <c r="AA68" s="33">
        <v>0</v>
      </c>
      <c r="AB68" s="33">
        <f t="shared" si="38"/>
        <v>0.48</v>
      </c>
      <c r="AC68" s="33">
        <f t="shared" si="39"/>
        <v>0</v>
      </c>
      <c r="AD68" s="33">
        <f t="shared" si="40"/>
        <v>0.48</v>
      </c>
      <c r="AE68" s="33">
        <f t="shared" si="41"/>
        <v>0</v>
      </c>
      <c r="AF68" s="33">
        <f t="shared" si="42"/>
        <v>0.17920000000000003</v>
      </c>
      <c r="AG68" s="34">
        <f t="shared" si="43"/>
        <v>933.81039999999916</v>
      </c>
      <c r="AH68" s="40">
        <f t="shared" si="44"/>
        <v>132.30000000000001</v>
      </c>
      <c r="AI68" s="40">
        <f t="shared" si="45"/>
        <v>9</v>
      </c>
      <c r="AJ68" s="40">
        <f t="shared" si="46"/>
        <v>11</v>
      </c>
      <c r="AK68" s="40">
        <f t="shared" si="47"/>
        <v>9</v>
      </c>
      <c r="AL68" s="40">
        <f t="shared" si="48"/>
        <v>13</v>
      </c>
    </row>
    <row r="69" spans="1:38" x14ac:dyDescent="0.25">
      <c r="A69" s="29">
        <v>109</v>
      </c>
      <c r="B69" s="5" t="s">
        <v>164</v>
      </c>
      <c r="C69" s="5" t="s">
        <v>332</v>
      </c>
      <c r="D69" s="5" t="s">
        <v>18</v>
      </c>
      <c r="E69" s="6">
        <v>1</v>
      </c>
      <c r="F69" s="5" t="s">
        <v>22</v>
      </c>
      <c r="G69" s="5">
        <f>VLOOKUP(F69,Lookup!$A$8:$B$12,2,0)</f>
        <v>3</v>
      </c>
      <c r="H69" s="5" t="s">
        <v>333</v>
      </c>
      <c r="I69" s="5">
        <v>2</v>
      </c>
      <c r="J69" s="5">
        <f>VLOOKUP(I69,Lookup!$A$15:$B$18,2,0)</f>
        <v>3</v>
      </c>
      <c r="K69" s="5" t="s">
        <v>37</v>
      </c>
      <c r="L69" s="5">
        <f>VLOOKUP(K69,Lookup!$D$21:$E$24,2,0)</f>
        <v>2</v>
      </c>
      <c r="M69" s="6">
        <f t="shared" si="35"/>
        <v>2</v>
      </c>
      <c r="N69" s="5">
        <f>VLOOKUP(K69,Lookup!$A$21:$B$24,2,0)</f>
        <v>5</v>
      </c>
      <c r="O69" s="5" t="s">
        <v>334</v>
      </c>
      <c r="P69" s="5" t="s">
        <v>45</v>
      </c>
      <c r="Q69" s="5">
        <f>VLOOKUP(P69,Lookup!$A$27:$B$31,2,0)</f>
        <v>1</v>
      </c>
      <c r="R69" s="6">
        <f t="shared" si="36"/>
        <v>12</v>
      </c>
      <c r="S69" s="6">
        <f>303*0.1</f>
        <v>30.3</v>
      </c>
      <c r="T69" s="6">
        <v>282</v>
      </c>
      <c r="U69" s="6">
        <f t="shared" si="31"/>
        <v>312.3</v>
      </c>
      <c r="V69" s="6">
        <f t="shared" si="37"/>
        <v>156.15</v>
      </c>
      <c r="W69" s="6">
        <v>60</v>
      </c>
      <c r="X69" s="18" t="s">
        <v>105</v>
      </c>
      <c r="Y69" s="5" t="s">
        <v>331</v>
      </c>
      <c r="Z69" s="33">
        <f>M69</f>
        <v>2</v>
      </c>
      <c r="AA69" s="33">
        <v>0</v>
      </c>
      <c r="AB69" s="33">
        <f t="shared" si="38"/>
        <v>0.6</v>
      </c>
      <c r="AC69" s="33">
        <f t="shared" si="39"/>
        <v>0</v>
      </c>
      <c r="AD69" s="33">
        <f t="shared" si="40"/>
        <v>0.6</v>
      </c>
      <c r="AE69" s="33">
        <f t="shared" si="41"/>
        <v>0</v>
      </c>
      <c r="AF69" s="33">
        <f t="shared" si="42"/>
        <v>0.22400000000000003</v>
      </c>
      <c r="AG69" s="34">
        <f t="shared" si="43"/>
        <v>937.23439999999914</v>
      </c>
      <c r="AH69" s="40">
        <f t="shared" si="44"/>
        <v>133.30000000000001</v>
      </c>
      <c r="AI69" s="40">
        <f t="shared" si="45"/>
        <v>9</v>
      </c>
      <c r="AJ69" s="40">
        <f t="shared" si="46"/>
        <v>9</v>
      </c>
      <c r="AK69" s="40">
        <f t="shared" si="47"/>
        <v>7</v>
      </c>
      <c r="AL69" s="40">
        <f t="shared" si="48"/>
        <v>11</v>
      </c>
    </row>
    <row r="70" spans="1:38" x14ac:dyDescent="0.25">
      <c r="A70" s="5">
        <v>126</v>
      </c>
      <c r="B70" s="5" t="s">
        <v>261</v>
      </c>
      <c r="C70" s="5" t="s">
        <v>335</v>
      </c>
      <c r="D70" s="5" t="s">
        <v>17</v>
      </c>
      <c r="E70" s="6">
        <v>3.8</v>
      </c>
      <c r="F70" s="5" t="s">
        <v>24</v>
      </c>
      <c r="G70" s="5">
        <f>VLOOKUP(F70,Lookup!$A$8:$B$12,2,0)</f>
        <v>4</v>
      </c>
      <c r="H70" s="5" t="s">
        <v>263</v>
      </c>
      <c r="I70" s="5">
        <v>3</v>
      </c>
      <c r="J70" s="5">
        <f>VLOOKUP(I70,Lookup!$A$15:$B$18,2,0)</f>
        <v>5</v>
      </c>
      <c r="K70" s="5" t="s">
        <v>35</v>
      </c>
      <c r="L70" s="5">
        <f>VLOOKUP(K70,Lookup!$D$21:$E$24,2,0)</f>
        <v>5</v>
      </c>
      <c r="M70" s="6">
        <f t="shared" si="35"/>
        <v>19</v>
      </c>
      <c r="N70" s="5">
        <f>VLOOKUP(K70,Lookup!$A$21:$B$24,2,0)</f>
        <v>3</v>
      </c>
      <c r="O70" s="5" t="s">
        <v>264</v>
      </c>
      <c r="P70" s="5" t="s">
        <v>43</v>
      </c>
      <c r="Q70" s="5">
        <f>VLOOKUP(P70,Lookup!$A$27:$B$31,2,0)</f>
        <v>3</v>
      </c>
      <c r="R70" s="6">
        <f t="shared" si="36"/>
        <v>15</v>
      </c>
      <c r="T70" s="6">
        <v>1161</v>
      </c>
      <c r="U70" s="6">
        <f t="shared" si="31"/>
        <v>1161</v>
      </c>
      <c r="V70" s="6">
        <f t="shared" si="37"/>
        <v>232.20000000000002</v>
      </c>
      <c r="W70" s="6">
        <v>60</v>
      </c>
      <c r="X70" s="18" t="s">
        <v>265</v>
      </c>
      <c r="Z70" s="33">
        <v>0</v>
      </c>
      <c r="AA70" s="33">
        <v>19</v>
      </c>
      <c r="AB70" s="33">
        <f t="shared" si="38"/>
        <v>0</v>
      </c>
      <c r="AC70" s="33">
        <f t="shared" si="39"/>
        <v>5.7</v>
      </c>
      <c r="AD70" s="33">
        <f t="shared" si="40"/>
        <v>0</v>
      </c>
      <c r="AE70" s="33">
        <f t="shared" si="41"/>
        <v>5.7</v>
      </c>
      <c r="AF70" s="33">
        <f t="shared" si="42"/>
        <v>2.1280000000000001</v>
      </c>
      <c r="AG70" s="34">
        <f t="shared" si="43"/>
        <v>969.76239999999916</v>
      </c>
      <c r="AH70" s="40">
        <f t="shared" si="44"/>
        <v>137.10000000000002</v>
      </c>
      <c r="AI70" s="40">
        <f t="shared" si="45"/>
        <v>11</v>
      </c>
      <c r="AJ70" s="40">
        <f t="shared" si="46"/>
        <v>10</v>
      </c>
      <c r="AK70" s="40">
        <f t="shared" si="47"/>
        <v>12</v>
      </c>
      <c r="AL70" s="40">
        <f t="shared" si="48"/>
        <v>12</v>
      </c>
    </row>
    <row r="71" spans="1:38" x14ac:dyDescent="0.25">
      <c r="A71" s="5">
        <v>147</v>
      </c>
      <c r="B71" s="5" t="s">
        <v>336</v>
      </c>
      <c r="C71" s="5" t="s">
        <v>337</v>
      </c>
      <c r="D71" s="5" t="s">
        <v>17</v>
      </c>
      <c r="E71" s="6">
        <v>1.3</v>
      </c>
      <c r="F71" s="5" t="s">
        <v>28</v>
      </c>
      <c r="G71" s="5">
        <f>VLOOKUP(F71,Lookup!$A$8:$B$12,2,0)</f>
        <v>0</v>
      </c>
      <c r="I71" s="5">
        <v>3</v>
      </c>
      <c r="J71" s="5">
        <f>VLOOKUP(I71,Lookup!$A$15:$B$18,2,0)</f>
        <v>5</v>
      </c>
      <c r="K71" s="5" t="s">
        <v>37</v>
      </c>
      <c r="L71" s="5">
        <f>VLOOKUP(K71,Lookup!$D$21:$E$24,2,0)</f>
        <v>2</v>
      </c>
      <c r="M71" s="6">
        <f t="shared" si="35"/>
        <v>2.6</v>
      </c>
      <c r="N71" s="5">
        <f>VLOOKUP(K71,Lookup!$A$21:$B$24,2,0)</f>
        <v>5</v>
      </c>
      <c r="O71" s="5" t="s">
        <v>338</v>
      </c>
      <c r="P71" s="5" t="s">
        <v>43</v>
      </c>
      <c r="Q71" s="5">
        <f>VLOOKUP(P71,Lookup!$A$27:$B$31,2,0)</f>
        <v>3</v>
      </c>
      <c r="R71" s="6">
        <f t="shared" si="36"/>
        <v>13</v>
      </c>
      <c r="S71" s="6">
        <f>942*0.1+760*0.1</f>
        <v>170.2</v>
      </c>
      <c r="T71" s="6">
        <v>282</v>
      </c>
      <c r="U71" s="6">
        <f t="shared" si="31"/>
        <v>452.2</v>
      </c>
      <c r="V71" s="6">
        <f t="shared" si="37"/>
        <v>226.1</v>
      </c>
      <c r="W71" s="6">
        <v>60</v>
      </c>
      <c r="X71" s="18" t="s">
        <v>105</v>
      </c>
      <c r="Z71" s="33">
        <f t="shared" ref="Z71:Z79" si="49">M71</f>
        <v>2.6</v>
      </c>
      <c r="AA71" s="33">
        <v>0</v>
      </c>
      <c r="AB71" s="33">
        <f t="shared" si="38"/>
        <v>0.78</v>
      </c>
      <c r="AC71" s="33">
        <f t="shared" si="39"/>
        <v>0</v>
      </c>
      <c r="AD71" s="33">
        <f t="shared" si="40"/>
        <v>0.78</v>
      </c>
      <c r="AE71" s="33">
        <f t="shared" si="41"/>
        <v>0</v>
      </c>
      <c r="AF71" s="33">
        <f t="shared" si="42"/>
        <v>0.29120000000000001</v>
      </c>
      <c r="AG71" s="34">
        <f t="shared" si="43"/>
        <v>974.21359999999913</v>
      </c>
      <c r="AH71" s="40">
        <f t="shared" si="44"/>
        <v>138.40000000000003</v>
      </c>
      <c r="AI71" s="40">
        <f t="shared" si="45"/>
        <v>13</v>
      </c>
      <c r="AJ71" s="40">
        <f t="shared" si="46"/>
        <v>8</v>
      </c>
      <c r="AK71" s="40">
        <f t="shared" si="47"/>
        <v>8</v>
      </c>
      <c r="AL71" s="40">
        <f t="shared" si="48"/>
        <v>10</v>
      </c>
    </row>
    <row r="72" spans="1:38" x14ac:dyDescent="0.25">
      <c r="A72" s="5">
        <v>18</v>
      </c>
      <c r="B72" s="5" t="s">
        <v>186</v>
      </c>
      <c r="C72" s="5" t="s">
        <v>339</v>
      </c>
      <c r="D72" s="5" t="s">
        <v>17</v>
      </c>
      <c r="E72" s="6">
        <v>1</v>
      </c>
      <c r="F72" s="5" t="s">
        <v>20</v>
      </c>
      <c r="G72" s="5">
        <f>VLOOKUP(F72,Lookup!$A$8:$B$12,2,0)</f>
        <v>5</v>
      </c>
      <c r="H72" s="5" t="s">
        <v>340</v>
      </c>
      <c r="I72" s="5">
        <v>2</v>
      </c>
      <c r="J72" s="5">
        <f>VLOOKUP(I72,Lookup!$A$15:$B$18,2,0)</f>
        <v>3</v>
      </c>
      <c r="K72" s="5" t="s">
        <v>35</v>
      </c>
      <c r="L72" s="5">
        <f>VLOOKUP(K72,Lookup!$D$21:$E$24,2,0)</f>
        <v>5</v>
      </c>
      <c r="M72" s="6">
        <f t="shared" si="35"/>
        <v>5</v>
      </c>
      <c r="N72" s="5">
        <f>VLOOKUP(K72,Lookup!$A$21:$B$24,2,0)</f>
        <v>3</v>
      </c>
      <c r="O72" s="5" t="s">
        <v>341</v>
      </c>
      <c r="P72" s="5" t="s">
        <v>43</v>
      </c>
      <c r="Q72" s="5">
        <f>VLOOKUP(P72,Lookup!$A$27:$B$31,2,0)</f>
        <v>3</v>
      </c>
      <c r="R72" s="6">
        <f t="shared" si="36"/>
        <v>14</v>
      </c>
      <c r="S72" s="6">
        <f>1235*0.1</f>
        <v>123.5</v>
      </c>
      <c r="T72" s="6">
        <v>139</v>
      </c>
      <c r="U72" s="6">
        <f t="shared" si="31"/>
        <v>262.5</v>
      </c>
      <c r="V72" s="6">
        <f t="shared" si="37"/>
        <v>52.5</v>
      </c>
      <c r="W72" s="6">
        <v>70</v>
      </c>
      <c r="X72" s="18" t="s">
        <v>216</v>
      </c>
      <c r="Z72" s="33">
        <f t="shared" si="49"/>
        <v>5</v>
      </c>
      <c r="AA72" s="33">
        <v>0</v>
      </c>
      <c r="AB72" s="33">
        <f t="shared" si="38"/>
        <v>1.5</v>
      </c>
      <c r="AC72" s="33">
        <f t="shared" si="39"/>
        <v>0</v>
      </c>
      <c r="AD72" s="33">
        <f t="shared" si="40"/>
        <v>1.5</v>
      </c>
      <c r="AE72" s="33">
        <f t="shared" si="41"/>
        <v>0</v>
      </c>
      <c r="AF72" s="33">
        <f t="shared" si="42"/>
        <v>0.56000000000000005</v>
      </c>
      <c r="AG72" s="34">
        <f t="shared" si="43"/>
        <v>982.77359999999908</v>
      </c>
      <c r="AH72" s="40">
        <f t="shared" si="44"/>
        <v>139.40000000000003</v>
      </c>
      <c r="AI72" s="40">
        <f t="shared" si="45"/>
        <v>9</v>
      </c>
      <c r="AJ72" s="40">
        <f t="shared" si="46"/>
        <v>11</v>
      </c>
      <c r="AK72" s="40">
        <f t="shared" si="47"/>
        <v>11</v>
      </c>
      <c r="AL72" s="40">
        <f t="shared" si="48"/>
        <v>11</v>
      </c>
    </row>
    <row r="73" spans="1:38" x14ac:dyDescent="0.25">
      <c r="A73" s="29">
        <v>19</v>
      </c>
      <c r="B73" s="5" t="s">
        <v>186</v>
      </c>
      <c r="C73" s="5" t="s">
        <v>342</v>
      </c>
      <c r="D73" s="5" t="s">
        <v>17</v>
      </c>
      <c r="E73" s="6">
        <v>1.3</v>
      </c>
      <c r="F73" s="5" t="s">
        <v>20</v>
      </c>
      <c r="G73" s="5">
        <f>VLOOKUP(F73,Lookup!$A$8:$B$12,2,0)</f>
        <v>5</v>
      </c>
      <c r="H73" s="5" t="s">
        <v>343</v>
      </c>
      <c r="I73" s="5">
        <v>3</v>
      </c>
      <c r="J73" s="5">
        <f>VLOOKUP(I73,Lookup!$A$15:$B$18,2,0)</f>
        <v>5</v>
      </c>
      <c r="K73" s="5" t="s">
        <v>33</v>
      </c>
      <c r="L73" s="5">
        <v>8</v>
      </c>
      <c r="M73" s="6">
        <f t="shared" si="35"/>
        <v>10.4</v>
      </c>
      <c r="N73" s="5">
        <f>VLOOKUP(K73,Lookup!$A$21:$B$24,2,0)</f>
        <v>2</v>
      </c>
      <c r="O73" s="5" t="s">
        <v>344</v>
      </c>
      <c r="P73" s="5" t="s">
        <v>43</v>
      </c>
      <c r="Q73" s="5">
        <f>VLOOKUP(P73,Lookup!$A$27:$B$31,2,0)</f>
        <v>3</v>
      </c>
      <c r="R73" s="6">
        <f t="shared" si="36"/>
        <v>15</v>
      </c>
      <c r="S73" s="6">
        <f>1235*0.1</f>
        <v>123.5</v>
      </c>
      <c r="T73" s="6">
        <v>637</v>
      </c>
      <c r="U73" s="6">
        <f t="shared" si="31"/>
        <v>760.5</v>
      </c>
      <c r="V73" s="6">
        <f t="shared" si="37"/>
        <v>95.0625</v>
      </c>
      <c r="W73" s="6">
        <v>70</v>
      </c>
      <c r="X73" s="18" t="s">
        <v>345</v>
      </c>
      <c r="Z73" s="33">
        <f t="shared" si="49"/>
        <v>10.4</v>
      </c>
      <c r="AA73" s="33">
        <v>0</v>
      </c>
      <c r="AB73" s="33">
        <f t="shared" si="38"/>
        <v>3.12</v>
      </c>
      <c r="AC73" s="33">
        <f t="shared" si="39"/>
        <v>0</v>
      </c>
      <c r="AD73" s="33">
        <f t="shared" si="40"/>
        <v>3.12</v>
      </c>
      <c r="AE73" s="33">
        <f t="shared" si="41"/>
        <v>0</v>
      </c>
      <c r="AF73" s="33">
        <f t="shared" si="42"/>
        <v>1.1648000000000001</v>
      </c>
      <c r="AG73" s="34">
        <f t="shared" si="43"/>
        <v>1000.5783999999991</v>
      </c>
      <c r="AH73" s="40">
        <f t="shared" si="44"/>
        <v>140.70000000000005</v>
      </c>
      <c r="AI73" s="40">
        <f t="shared" si="45"/>
        <v>10</v>
      </c>
      <c r="AJ73" s="40">
        <f t="shared" si="46"/>
        <v>10</v>
      </c>
      <c r="AK73" s="40">
        <f t="shared" si="47"/>
        <v>13</v>
      </c>
      <c r="AL73" s="40">
        <f t="shared" si="48"/>
        <v>12</v>
      </c>
    </row>
    <row r="74" spans="1:38" x14ac:dyDescent="0.25">
      <c r="A74" s="29">
        <v>26</v>
      </c>
      <c r="B74" s="5" t="s">
        <v>346</v>
      </c>
      <c r="C74" s="5" t="s">
        <v>347</v>
      </c>
      <c r="D74" s="5" t="s">
        <v>17</v>
      </c>
      <c r="E74" s="6">
        <v>1.3</v>
      </c>
      <c r="F74" s="5" t="s">
        <v>24</v>
      </c>
      <c r="G74" s="5">
        <f>VLOOKUP(F74,Lookup!$A$8:$B$12,2,0)</f>
        <v>4</v>
      </c>
      <c r="H74" s="5" t="s">
        <v>348</v>
      </c>
      <c r="I74" s="5">
        <v>2</v>
      </c>
      <c r="J74" s="5">
        <f>VLOOKUP(I74,Lookup!$A$15:$B$18,2,0)</f>
        <v>3</v>
      </c>
      <c r="K74" s="5" t="s">
        <v>33</v>
      </c>
      <c r="L74" s="5">
        <f>VLOOKUP(K74,Lookup!$D$21:$E$24,2,0)</f>
        <v>10</v>
      </c>
      <c r="M74" s="6">
        <f t="shared" si="35"/>
        <v>13</v>
      </c>
      <c r="N74" s="5">
        <f>VLOOKUP(K74,Lookup!$A$21:$B$24,2,0)</f>
        <v>2</v>
      </c>
      <c r="O74" s="5" t="s">
        <v>349</v>
      </c>
      <c r="P74" s="5" t="s">
        <v>44</v>
      </c>
      <c r="Q74" s="5">
        <f>VLOOKUP(P74,Lookup!$A$27:$B$31,2,0)</f>
        <v>2</v>
      </c>
      <c r="R74" s="6">
        <f t="shared" si="36"/>
        <v>11</v>
      </c>
      <c r="S74" s="6">
        <f>681*0.1</f>
        <v>68.100000000000009</v>
      </c>
      <c r="T74" s="6">
        <v>165</v>
      </c>
      <c r="U74" s="6">
        <f t="shared" si="31"/>
        <v>233.10000000000002</v>
      </c>
      <c r="V74" s="6">
        <f t="shared" si="37"/>
        <v>23.310000000000002</v>
      </c>
      <c r="W74" s="6">
        <v>70</v>
      </c>
      <c r="X74" s="18" t="s">
        <v>216</v>
      </c>
      <c r="Z74" s="33">
        <f t="shared" si="49"/>
        <v>13</v>
      </c>
      <c r="AA74" s="33">
        <v>0</v>
      </c>
      <c r="AB74" s="33">
        <f t="shared" si="38"/>
        <v>3.9</v>
      </c>
      <c r="AC74" s="33">
        <f t="shared" si="39"/>
        <v>0</v>
      </c>
      <c r="AD74" s="33">
        <f t="shared" si="40"/>
        <v>3.9</v>
      </c>
      <c r="AE74" s="33">
        <f t="shared" si="41"/>
        <v>0</v>
      </c>
      <c r="AF74" s="33">
        <f t="shared" si="42"/>
        <v>1.456</v>
      </c>
      <c r="AG74" s="34">
        <f t="shared" si="43"/>
        <v>1022.8343999999991</v>
      </c>
      <c r="AH74" s="40">
        <f t="shared" si="44"/>
        <v>142.00000000000006</v>
      </c>
      <c r="AI74" s="40">
        <f t="shared" si="45"/>
        <v>7</v>
      </c>
      <c r="AJ74" s="40">
        <f t="shared" si="46"/>
        <v>8</v>
      </c>
      <c r="AK74" s="40">
        <f t="shared" si="47"/>
        <v>9</v>
      </c>
      <c r="AL74" s="40">
        <f t="shared" si="48"/>
        <v>9</v>
      </c>
    </row>
    <row r="75" spans="1:38" x14ac:dyDescent="0.25">
      <c r="A75" s="29">
        <v>58</v>
      </c>
      <c r="B75" s="5" t="s">
        <v>82</v>
      </c>
      <c r="C75" s="5" t="s">
        <v>350</v>
      </c>
      <c r="D75" s="5" t="s">
        <v>17</v>
      </c>
      <c r="E75" s="6">
        <v>2.2000000000000002</v>
      </c>
      <c r="F75" s="5" t="s">
        <v>28</v>
      </c>
      <c r="G75" s="5">
        <f>VLOOKUP(F75,Lookup!$A$8:$B$12,2,0)</f>
        <v>0</v>
      </c>
      <c r="I75" s="5">
        <v>3</v>
      </c>
      <c r="J75" s="5">
        <f>VLOOKUP(I75,Lookup!$A$15:$B$18,2,0)</f>
        <v>5</v>
      </c>
      <c r="K75" s="5" t="s">
        <v>37</v>
      </c>
      <c r="L75" s="5">
        <f>VLOOKUP(K75,Lookup!$D$21:$E$24,2,0)</f>
        <v>2</v>
      </c>
      <c r="M75" s="6">
        <f t="shared" si="35"/>
        <v>4.4000000000000004</v>
      </c>
      <c r="N75" s="5">
        <f>VLOOKUP(K75,Lookup!$A$21:$B$24,2,0)</f>
        <v>5</v>
      </c>
      <c r="O75" s="5" t="s">
        <v>351</v>
      </c>
      <c r="P75" s="5" t="s">
        <v>44</v>
      </c>
      <c r="Q75" s="5">
        <f>VLOOKUP(P75,Lookup!$A$27:$B$31,2,0)</f>
        <v>2</v>
      </c>
      <c r="R75" s="6">
        <f t="shared" si="36"/>
        <v>12</v>
      </c>
      <c r="S75" s="6">
        <f>360*0.2</f>
        <v>72</v>
      </c>
      <c r="T75" s="6">
        <v>409</v>
      </c>
      <c r="U75" s="6">
        <f t="shared" si="31"/>
        <v>481</v>
      </c>
      <c r="V75" s="6">
        <f t="shared" si="37"/>
        <v>240.5</v>
      </c>
      <c r="W75" s="6">
        <v>70</v>
      </c>
      <c r="X75" s="18" t="s">
        <v>105</v>
      </c>
      <c r="Z75" s="33">
        <f t="shared" si="49"/>
        <v>4.4000000000000004</v>
      </c>
      <c r="AA75" s="33">
        <v>0</v>
      </c>
      <c r="AB75" s="33">
        <f t="shared" si="38"/>
        <v>1.32</v>
      </c>
      <c r="AC75" s="33">
        <f t="shared" si="39"/>
        <v>0</v>
      </c>
      <c r="AD75" s="33">
        <f t="shared" si="40"/>
        <v>1.32</v>
      </c>
      <c r="AE75" s="33">
        <f t="shared" si="41"/>
        <v>0</v>
      </c>
      <c r="AF75" s="33">
        <f t="shared" si="42"/>
        <v>0.49280000000000013</v>
      </c>
      <c r="AG75" s="34">
        <f t="shared" si="43"/>
        <v>1030.367199999999</v>
      </c>
      <c r="AH75" s="40">
        <f t="shared" si="44"/>
        <v>144.20000000000005</v>
      </c>
      <c r="AI75" s="40">
        <f t="shared" si="45"/>
        <v>12</v>
      </c>
      <c r="AJ75" s="40">
        <f t="shared" si="46"/>
        <v>7</v>
      </c>
      <c r="AK75" s="40">
        <f t="shared" si="47"/>
        <v>7</v>
      </c>
      <c r="AL75" s="40">
        <f t="shared" si="48"/>
        <v>10</v>
      </c>
    </row>
    <row r="76" spans="1:38" x14ac:dyDescent="0.25">
      <c r="A76" s="5">
        <v>60</v>
      </c>
      <c r="B76" s="5" t="s">
        <v>82</v>
      </c>
      <c r="C76" s="5" t="s">
        <v>352</v>
      </c>
      <c r="D76" s="5" t="s">
        <v>17</v>
      </c>
      <c r="E76" s="6">
        <v>2.2000000000000002</v>
      </c>
      <c r="F76" s="5" t="s">
        <v>20</v>
      </c>
      <c r="G76" s="5">
        <f>VLOOKUP(F76,Lookup!$A$8:$B$12,2,0)</f>
        <v>5</v>
      </c>
      <c r="H76" s="5" t="s">
        <v>353</v>
      </c>
      <c r="I76" s="5">
        <v>3</v>
      </c>
      <c r="J76" s="5">
        <f>VLOOKUP(I76,Lookup!$A$15:$B$18,2,0)</f>
        <v>5</v>
      </c>
      <c r="K76" s="5" t="s">
        <v>35</v>
      </c>
      <c r="L76" s="5">
        <f>VLOOKUP(K76,Lookup!$D$21:$E$24,2,0)</f>
        <v>5</v>
      </c>
      <c r="M76" s="6">
        <f t="shared" si="35"/>
        <v>11</v>
      </c>
      <c r="N76" s="5">
        <f>VLOOKUP(K76,Lookup!$A$21:$B$24,2,0)</f>
        <v>3</v>
      </c>
      <c r="O76" s="5" t="s">
        <v>354</v>
      </c>
      <c r="P76" s="5" t="s">
        <v>43</v>
      </c>
      <c r="Q76" s="5">
        <f>VLOOKUP(P76,Lookup!$A$27:$B$31,2,0)</f>
        <v>3</v>
      </c>
      <c r="R76" s="6">
        <f t="shared" si="36"/>
        <v>16</v>
      </c>
      <c r="S76" s="6">
        <f>100</f>
        <v>100</v>
      </c>
      <c r="T76" s="6">
        <v>215</v>
      </c>
      <c r="U76" s="6">
        <f t="shared" si="31"/>
        <v>315</v>
      </c>
      <c r="V76" s="6">
        <f t="shared" si="37"/>
        <v>63</v>
      </c>
      <c r="W76" s="6">
        <v>70</v>
      </c>
      <c r="X76" s="18" t="s">
        <v>355</v>
      </c>
      <c r="Z76" s="33">
        <f t="shared" si="49"/>
        <v>11</v>
      </c>
      <c r="AA76" s="33">
        <v>0</v>
      </c>
      <c r="AB76" s="33">
        <f t="shared" si="38"/>
        <v>3.3</v>
      </c>
      <c r="AC76" s="33">
        <f t="shared" si="39"/>
        <v>0</v>
      </c>
      <c r="AD76" s="33">
        <f t="shared" si="40"/>
        <v>3.3</v>
      </c>
      <c r="AE76" s="33">
        <f t="shared" si="41"/>
        <v>0</v>
      </c>
      <c r="AF76" s="33">
        <f t="shared" si="42"/>
        <v>1.2320000000000002</v>
      </c>
      <c r="AG76" s="34">
        <f t="shared" si="43"/>
        <v>1049.1991999999991</v>
      </c>
      <c r="AH76" s="40">
        <f t="shared" si="44"/>
        <v>146.40000000000003</v>
      </c>
      <c r="AI76" s="40">
        <f t="shared" si="45"/>
        <v>11</v>
      </c>
      <c r="AJ76" s="40">
        <f t="shared" si="46"/>
        <v>11</v>
      </c>
      <c r="AK76" s="40">
        <f t="shared" si="47"/>
        <v>13</v>
      </c>
      <c r="AL76" s="40">
        <f t="shared" si="48"/>
        <v>13</v>
      </c>
    </row>
    <row r="77" spans="1:38" x14ac:dyDescent="0.25">
      <c r="A77" s="29">
        <v>73</v>
      </c>
      <c r="B77" s="5" t="s">
        <v>235</v>
      </c>
      <c r="C77" s="5" t="s">
        <v>356</v>
      </c>
      <c r="D77" s="5" t="s">
        <v>17</v>
      </c>
      <c r="E77" s="6">
        <v>1</v>
      </c>
      <c r="F77" s="5" t="s">
        <v>20</v>
      </c>
      <c r="G77" s="5">
        <f>VLOOKUP(F77,Lookup!$A$8:$B$12,2,0)</f>
        <v>5</v>
      </c>
      <c r="H77" s="5" t="s">
        <v>357</v>
      </c>
      <c r="I77" s="5">
        <v>2</v>
      </c>
      <c r="J77" s="5">
        <f>VLOOKUP(I77,Lookup!$A$15:$B$18,2,0)</f>
        <v>3</v>
      </c>
      <c r="K77" s="5" t="s">
        <v>35</v>
      </c>
      <c r="L77" s="5">
        <f>VLOOKUP(K77,Lookup!$D$21:$E$24,2,0)</f>
        <v>5</v>
      </c>
      <c r="M77" s="6">
        <f t="shared" si="35"/>
        <v>5</v>
      </c>
      <c r="N77" s="5">
        <f>VLOOKUP(K77,Lookup!$A$21:$B$24,2,0)</f>
        <v>3</v>
      </c>
      <c r="O77" s="5" t="s">
        <v>358</v>
      </c>
      <c r="P77" s="5" t="s">
        <v>44</v>
      </c>
      <c r="Q77" s="5">
        <f>VLOOKUP(P77,Lookup!$A$27:$B$31,2,0)</f>
        <v>2</v>
      </c>
      <c r="R77" s="6">
        <f t="shared" si="36"/>
        <v>13</v>
      </c>
      <c r="S77" s="6">
        <f>876*0.1</f>
        <v>87.600000000000009</v>
      </c>
      <c r="T77" s="6">
        <v>411</v>
      </c>
      <c r="U77" s="6">
        <f t="shared" si="31"/>
        <v>498.6</v>
      </c>
      <c r="V77" s="6">
        <f t="shared" si="37"/>
        <v>99.72</v>
      </c>
      <c r="W77" s="6">
        <v>70</v>
      </c>
      <c r="X77" s="18" t="s">
        <v>216</v>
      </c>
      <c r="Z77" s="33">
        <f t="shared" si="49"/>
        <v>5</v>
      </c>
      <c r="AA77" s="33">
        <v>0</v>
      </c>
      <c r="AB77" s="33">
        <f t="shared" si="38"/>
        <v>1.5</v>
      </c>
      <c r="AC77" s="33">
        <f t="shared" si="39"/>
        <v>0</v>
      </c>
      <c r="AD77" s="33">
        <f t="shared" si="40"/>
        <v>1.5</v>
      </c>
      <c r="AE77" s="33">
        <f t="shared" si="41"/>
        <v>0</v>
      </c>
      <c r="AF77" s="33">
        <f t="shared" si="42"/>
        <v>0.56000000000000005</v>
      </c>
      <c r="AG77" s="34">
        <f t="shared" si="43"/>
        <v>1057.7591999999991</v>
      </c>
      <c r="AH77" s="40">
        <f t="shared" si="44"/>
        <v>147.40000000000003</v>
      </c>
      <c r="AI77" s="40">
        <f t="shared" si="45"/>
        <v>8</v>
      </c>
      <c r="AJ77" s="40">
        <f t="shared" si="46"/>
        <v>10</v>
      </c>
      <c r="AK77" s="40">
        <f t="shared" si="47"/>
        <v>10</v>
      </c>
      <c r="AL77" s="40">
        <f t="shared" si="48"/>
        <v>11</v>
      </c>
    </row>
    <row r="78" spans="1:38" x14ac:dyDescent="0.25">
      <c r="A78" s="29">
        <v>74</v>
      </c>
      <c r="B78" s="5" t="s">
        <v>235</v>
      </c>
      <c r="C78" s="5" t="s">
        <v>359</v>
      </c>
      <c r="D78" s="5" t="s">
        <v>17</v>
      </c>
      <c r="E78" s="6">
        <v>1</v>
      </c>
      <c r="F78" s="5" t="s">
        <v>20</v>
      </c>
      <c r="G78" s="5">
        <f>VLOOKUP(F78,Lookup!$A$8:$B$12,2,0)</f>
        <v>5</v>
      </c>
      <c r="H78" s="5" t="s">
        <v>357</v>
      </c>
      <c r="I78" s="5">
        <v>1</v>
      </c>
      <c r="J78" s="5">
        <f>VLOOKUP(I78,Lookup!$A$15:$B$18,2,0)</f>
        <v>1</v>
      </c>
      <c r="K78" s="5" t="s">
        <v>35</v>
      </c>
      <c r="L78" s="5">
        <f>VLOOKUP(K78,Lookup!$D$21:$E$24,2,0)</f>
        <v>5</v>
      </c>
      <c r="M78" s="6">
        <f t="shared" si="35"/>
        <v>5</v>
      </c>
      <c r="N78" s="5">
        <f>VLOOKUP(K78,Lookup!$A$21:$B$24,2,0)</f>
        <v>3</v>
      </c>
      <c r="O78" s="5" t="s">
        <v>360</v>
      </c>
      <c r="P78" s="5" t="s">
        <v>42</v>
      </c>
      <c r="Q78" s="5">
        <f>VLOOKUP(P78,Lookup!$A$27:$B$31,2,0)</f>
        <v>4</v>
      </c>
      <c r="R78" s="6">
        <f t="shared" si="36"/>
        <v>13</v>
      </c>
      <c r="S78" s="6">
        <f>876*0.1</f>
        <v>87.600000000000009</v>
      </c>
      <c r="T78" s="6">
        <v>368</v>
      </c>
      <c r="U78" s="6">
        <f t="shared" si="31"/>
        <v>455.6</v>
      </c>
      <c r="V78" s="6">
        <f t="shared" si="37"/>
        <v>91.12</v>
      </c>
      <c r="W78" s="6">
        <v>70</v>
      </c>
      <c r="X78" s="18" t="s">
        <v>216</v>
      </c>
      <c r="Z78" s="33">
        <f t="shared" si="49"/>
        <v>5</v>
      </c>
      <c r="AA78" s="33">
        <v>0</v>
      </c>
      <c r="AB78" s="33">
        <f t="shared" si="38"/>
        <v>1.5</v>
      </c>
      <c r="AC78" s="33">
        <f t="shared" si="39"/>
        <v>0</v>
      </c>
      <c r="AD78" s="33">
        <f t="shared" si="40"/>
        <v>1.5</v>
      </c>
      <c r="AE78" s="33">
        <f t="shared" si="41"/>
        <v>0</v>
      </c>
      <c r="AF78" s="33">
        <f t="shared" si="42"/>
        <v>0.56000000000000005</v>
      </c>
      <c r="AG78" s="34">
        <f t="shared" si="43"/>
        <v>1066.319199999999</v>
      </c>
      <c r="AH78" s="40">
        <f t="shared" si="44"/>
        <v>148.40000000000003</v>
      </c>
      <c r="AI78" s="40">
        <f t="shared" si="45"/>
        <v>8</v>
      </c>
      <c r="AJ78" s="40">
        <f t="shared" si="46"/>
        <v>12</v>
      </c>
      <c r="AK78" s="40">
        <f t="shared" si="47"/>
        <v>10</v>
      </c>
      <c r="AL78" s="40">
        <f t="shared" si="48"/>
        <v>9</v>
      </c>
    </row>
    <row r="79" spans="1:38" x14ac:dyDescent="0.25">
      <c r="A79" s="29">
        <v>95</v>
      </c>
      <c r="B79" s="5" t="s">
        <v>297</v>
      </c>
      <c r="C79" s="5" t="s">
        <v>361</v>
      </c>
      <c r="D79" s="5" t="s">
        <v>15</v>
      </c>
      <c r="E79" s="6">
        <v>0.6</v>
      </c>
      <c r="F79" s="5" t="s">
        <v>20</v>
      </c>
      <c r="G79" s="5">
        <f>VLOOKUP(F79,Lookup!$A$8:$B$12,2,0)</f>
        <v>5</v>
      </c>
      <c r="H79" s="5" t="s">
        <v>362</v>
      </c>
      <c r="I79" s="5">
        <v>2</v>
      </c>
      <c r="J79" s="5">
        <f>VLOOKUP(I79,Lookup!$A$15:$B$18,2,0)</f>
        <v>3</v>
      </c>
      <c r="K79" s="5" t="s">
        <v>35</v>
      </c>
      <c r="L79" s="5">
        <f>VLOOKUP(K79,Lookup!$D$21:$E$24,2,0)</f>
        <v>5</v>
      </c>
      <c r="M79" s="6">
        <f t="shared" si="35"/>
        <v>3</v>
      </c>
      <c r="N79" s="5">
        <f>VLOOKUP(K79,Lookup!$A$21:$B$24,2,0)</f>
        <v>3</v>
      </c>
      <c r="O79" s="5" t="s">
        <v>363</v>
      </c>
      <c r="P79" s="5" t="s">
        <v>43</v>
      </c>
      <c r="Q79" s="5">
        <f>VLOOKUP(P79,Lookup!$A$27:$B$31,2,0)</f>
        <v>3</v>
      </c>
      <c r="R79" s="6">
        <f t="shared" si="36"/>
        <v>14</v>
      </c>
      <c r="T79" s="6">
        <v>72</v>
      </c>
      <c r="U79" s="6">
        <f t="shared" si="31"/>
        <v>72</v>
      </c>
      <c r="V79" s="6">
        <f t="shared" si="37"/>
        <v>14.399999999999999</v>
      </c>
      <c r="W79" s="6">
        <v>70</v>
      </c>
      <c r="X79" s="18" t="s">
        <v>364</v>
      </c>
      <c r="Y79" s="5" t="s">
        <v>113</v>
      </c>
      <c r="Z79" s="33">
        <f t="shared" si="49"/>
        <v>3</v>
      </c>
      <c r="AA79" s="33">
        <v>0</v>
      </c>
      <c r="AB79" s="33">
        <f t="shared" si="38"/>
        <v>0.89999999999999991</v>
      </c>
      <c r="AC79" s="33">
        <f t="shared" si="39"/>
        <v>0</v>
      </c>
      <c r="AD79" s="33">
        <f t="shared" si="40"/>
        <v>0.89999999999999991</v>
      </c>
      <c r="AE79" s="33">
        <f t="shared" si="41"/>
        <v>0</v>
      </c>
      <c r="AF79" s="33">
        <f t="shared" si="42"/>
        <v>0.33600000000000002</v>
      </c>
      <c r="AG79" s="34">
        <f t="shared" si="43"/>
        <v>1071.455199999999</v>
      </c>
      <c r="AH79" s="40">
        <f t="shared" si="44"/>
        <v>149.00000000000003</v>
      </c>
      <c r="AI79" s="40">
        <f t="shared" si="45"/>
        <v>9</v>
      </c>
      <c r="AJ79" s="40">
        <f t="shared" si="46"/>
        <v>11</v>
      </c>
      <c r="AK79" s="40">
        <f t="shared" si="47"/>
        <v>11</v>
      </c>
      <c r="AL79" s="40">
        <f t="shared" si="48"/>
        <v>11</v>
      </c>
    </row>
    <row r="80" spans="1:38" x14ac:dyDescent="0.25">
      <c r="A80" s="29">
        <v>115</v>
      </c>
      <c r="B80" s="5" t="s">
        <v>365</v>
      </c>
      <c r="C80" s="5" t="s">
        <v>366</v>
      </c>
      <c r="D80" s="5" t="s">
        <v>17</v>
      </c>
      <c r="E80" s="6">
        <v>2.4</v>
      </c>
      <c r="F80" s="5" t="s">
        <v>26</v>
      </c>
      <c r="G80" s="5">
        <f>VLOOKUP(F80,Lookup!$A$8:$B$12,2,0)</f>
        <v>1</v>
      </c>
      <c r="H80" s="5" t="s">
        <v>367</v>
      </c>
      <c r="I80" s="5">
        <v>3</v>
      </c>
      <c r="J80" s="5">
        <f>VLOOKUP(I80,Lookup!$A$15:$B$18,2,0)</f>
        <v>5</v>
      </c>
      <c r="K80" s="5" t="s">
        <v>33</v>
      </c>
      <c r="L80" s="5">
        <f>VLOOKUP(K80,Lookup!$D$21:$E$24,2,0)</f>
        <v>10</v>
      </c>
      <c r="M80" s="6">
        <f t="shared" si="35"/>
        <v>24</v>
      </c>
      <c r="N80" s="5">
        <f>VLOOKUP(K80,Lookup!$A$21:$B$24,2,0)</f>
        <v>2</v>
      </c>
      <c r="O80" s="5" t="s">
        <v>368</v>
      </c>
      <c r="P80" s="5" t="s">
        <v>42</v>
      </c>
      <c r="Q80" s="5">
        <f>VLOOKUP(P80,Lookup!$A$27:$B$31,2,0)</f>
        <v>4</v>
      </c>
      <c r="R80" s="6">
        <f t="shared" si="36"/>
        <v>12</v>
      </c>
      <c r="S80" s="6">
        <f>396*0.1</f>
        <v>39.6</v>
      </c>
      <c r="T80" s="6">
        <v>879</v>
      </c>
      <c r="U80" s="6">
        <f t="shared" si="31"/>
        <v>918.6</v>
      </c>
      <c r="V80" s="6">
        <f t="shared" si="37"/>
        <v>91.86</v>
      </c>
      <c r="W80" s="6">
        <v>70</v>
      </c>
      <c r="X80" s="18" t="s">
        <v>216</v>
      </c>
      <c r="Y80" s="5" t="s">
        <v>369</v>
      </c>
      <c r="Z80" s="33">
        <v>0</v>
      </c>
      <c r="AA80" s="33">
        <v>24</v>
      </c>
      <c r="AB80" s="33">
        <f t="shared" si="38"/>
        <v>0</v>
      </c>
      <c r="AC80" s="33">
        <f t="shared" si="39"/>
        <v>7.1999999999999993</v>
      </c>
      <c r="AD80" s="33">
        <f t="shared" si="40"/>
        <v>0</v>
      </c>
      <c r="AE80" s="33">
        <f t="shared" si="41"/>
        <v>7.1999999999999993</v>
      </c>
      <c r="AF80" s="33">
        <f t="shared" si="42"/>
        <v>2.6880000000000002</v>
      </c>
      <c r="AG80" s="34">
        <f t="shared" si="43"/>
        <v>1112.5431999999989</v>
      </c>
      <c r="AH80" s="40">
        <f t="shared" si="44"/>
        <v>151.40000000000003</v>
      </c>
      <c r="AI80" s="40">
        <f t="shared" si="45"/>
        <v>11</v>
      </c>
      <c r="AJ80" s="40">
        <f t="shared" si="46"/>
        <v>7</v>
      </c>
      <c r="AK80" s="40">
        <f t="shared" si="47"/>
        <v>10</v>
      </c>
      <c r="AL80" s="40">
        <f t="shared" si="48"/>
        <v>8</v>
      </c>
    </row>
    <row r="81" spans="1:38" x14ac:dyDescent="0.25">
      <c r="A81" s="5">
        <v>21</v>
      </c>
      <c r="B81" s="5" t="s">
        <v>186</v>
      </c>
      <c r="C81" s="5" t="s">
        <v>370</v>
      </c>
      <c r="D81" s="5" t="s">
        <v>18</v>
      </c>
      <c r="E81" s="6">
        <v>0.4</v>
      </c>
      <c r="F81" s="5" t="s">
        <v>24</v>
      </c>
      <c r="G81" s="5">
        <f>VLOOKUP(F81,Lookup!$A$8:$B$12,2,0)</f>
        <v>4</v>
      </c>
      <c r="H81" s="5" t="s">
        <v>348</v>
      </c>
      <c r="I81" s="5">
        <v>2</v>
      </c>
      <c r="J81" s="5">
        <f>VLOOKUP(I81,Lookup!$A$15:$B$18,2,0)</f>
        <v>3</v>
      </c>
      <c r="K81" s="5" t="s">
        <v>37</v>
      </c>
      <c r="L81" s="5">
        <v>2</v>
      </c>
      <c r="M81" s="6">
        <f t="shared" si="35"/>
        <v>0.8</v>
      </c>
      <c r="N81" s="5">
        <f>VLOOKUP(K81,Lookup!$A$21:$B$24,2,0)</f>
        <v>5</v>
      </c>
      <c r="O81" s="5" t="s">
        <v>371</v>
      </c>
      <c r="P81" s="5" t="s">
        <v>45</v>
      </c>
      <c r="Q81" s="5">
        <f>VLOOKUP(P81,Lookup!$A$27:$B$31,2,0)</f>
        <v>1</v>
      </c>
      <c r="R81" s="6">
        <f t="shared" si="36"/>
        <v>13</v>
      </c>
      <c r="S81" s="6">
        <f>1235*0.1</f>
        <v>123.5</v>
      </c>
      <c r="T81" s="6">
        <v>176</v>
      </c>
      <c r="U81" s="6">
        <f t="shared" si="31"/>
        <v>299.5</v>
      </c>
      <c r="V81" s="6">
        <f t="shared" si="37"/>
        <v>149.75</v>
      </c>
      <c r="W81" s="6">
        <v>80</v>
      </c>
      <c r="X81" s="18" t="s">
        <v>372</v>
      </c>
      <c r="Z81" s="33">
        <f t="shared" ref="Z81:Z112" si="50">M81</f>
        <v>0.8</v>
      </c>
      <c r="AA81" s="33">
        <v>0</v>
      </c>
      <c r="AB81" s="33">
        <f t="shared" si="38"/>
        <v>0.24</v>
      </c>
      <c r="AC81" s="33">
        <f t="shared" si="39"/>
        <v>0</v>
      </c>
      <c r="AD81" s="33">
        <f t="shared" si="40"/>
        <v>0.24</v>
      </c>
      <c r="AE81" s="33">
        <f t="shared" si="41"/>
        <v>0</v>
      </c>
      <c r="AF81" s="33">
        <f t="shared" si="42"/>
        <v>8.9600000000000013E-2</v>
      </c>
      <c r="AG81" s="34">
        <f t="shared" si="43"/>
        <v>1113.9127999999989</v>
      </c>
      <c r="AH81" s="40">
        <f t="shared" si="44"/>
        <v>151.80000000000004</v>
      </c>
      <c r="AI81" s="40">
        <f t="shared" si="45"/>
        <v>9</v>
      </c>
      <c r="AJ81" s="40">
        <f t="shared" si="46"/>
        <v>10</v>
      </c>
      <c r="AK81" s="40">
        <f t="shared" si="47"/>
        <v>8</v>
      </c>
      <c r="AL81" s="40">
        <f t="shared" si="48"/>
        <v>12</v>
      </c>
    </row>
    <row r="82" spans="1:38" x14ac:dyDescent="0.25">
      <c r="A82" s="29">
        <v>23</v>
      </c>
      <c r="B82" s="5" t="s">
        <v>186</v>
      </c>
      <c r="C82" s="5" t="s">
        <v>373</v>
      </c>
      <c r="D82" s="5" t="s">
        <v>17</v>
      </c>
      <c r="E82" s="6">
        <v>3</v>
      </c>
      <c r="F82" s="5" t="s">
        <v>22</v>
      </c>
      <c r="G82" s="5">
        <f>VLOOKUP(F82,Lookup!$A$8:$B$12,2,0)</f>
        <v>3</v>
      </c>
      <c r="H82" s="5" t="s">
        <v>374</v>
      </c>
      <c r="I82" s="5">
        <v>2</v>
      </c>
      <c r="J82" s="5">
        <f>VLOOKUP(I82,Lookup!$A$15:$B$18,2,0)</f>
        <v>3</v>
      </c>
      <c r="K82" s="5" t="s">
        <v>35</v>
      </c>
      <c r="L82" s="5">
        <f>VLOOKUP(K82,Lookup!$D$21:$E$24,2,0)</f>
        <v>5</v>
      </c>
      <c r="M82" s="6">
        <f t="shared" si="35"/>
        <v>15</v>
      </c>
      <c r="N82" s="5">
        <f>VLOOKUP(K82,Lookup!$A$21:$B$24,2,0)</f>
        <v>3</v>
      </c>
      <c r="O82" s="5" t="s">
        <v>375</v>
      </c>
      <c r="P82" s="5" t="s">
        <v>43</v>
      </c>
      <c r="Q82" s="5">
        <f>VLOOKUP(P82,Lookup!$A$27:$B$31,2,0)</f>
        <v>3</v>
      </c>
      <c r="R82" s="6">
        <f t="shared" si="36"/>
        <v>12</v>
      </c>
      <c r="S82" s="6">
        <f>1235*0.1</f>
        <v>123.5</v>
      </c>
      <c r="T82" s="6">
        <v>284</v>
      </c>
      <c r="U82" s="6">
        <f t="shared" si="31"/>
        <v>407.5</v>
      </c>
      <c r="V82" s="6">
        <f t="shared" si="37"/>
        <v>81.5</v>
      </c>
      <c r="W82" s="6">
        <v>80</v>
      </c>
      <c r="X82" s="18" t="s">
        <v>216</v>
      </c>
      <c r="Z82" s="33">
        <f t="shared" si="50"/>
        <v>15</v>
      </c>
      <c r="AA82" s="33">
        <v>0</v>
      </c>
      <c r="AB82" s="33">
        <f t="shared" si="38"/>
        <v>4.5</v>
      </c>
      <c r="AC82" s="33">
        <f t="shared" si="39"/>
        <v>0</v>
      </c>
      <c r="AD82" s="33">
        <f t="shared" si="40"/>
        <v>4.5</v>
      </c>
      <c r="AE82" s="33">
        <f t="shared" si="41"/>
        <v>0</v>
      </c>
      <c r="AF82" s="33">
        <f t="shared" si="42"/>
        <v>1.6800000000000002</v>
      </c>
      <c r="AG82" s="34">
        <f t="shared" si="43"/>
        <v>1139.592799999999</v>
      </c>
      <c r="AH82" s="40">
        <f t="shared" si="44"/>
        <v>154.80000000000004</v>
      </c>
      <c r="AI82" s="40">
        <f t="shared" si="45"/>
        <v>9</v>
      </c>
      <c r="AJ82" s="40">
        <f t="shared" si="46"/>
        <v>9</v>
      </c>
      <c r="AK82" s="40">
        <f t="shared" si="47"/>
        <v>9</v>
      </c>
      <c r="AL82" s="40">
        <f t="shared" si="48"/>
        <v>9</v>
      </c>
    </row>
    <row r="83" spans="1:38" x14ac:dyDescent="0.25">
      <c r="A83" s="5">
        <v>24</v>
      </c>
      <c r="B83" s="5" t="s">
        <v>186</v>
      </c>
      <c r="C83" s="5" t="s">
        <v>376</v>
      </c>
      <c r="D83" s="5" t="s">
        <v>17</v>
      </c>
      <c r="E83" s="6">
        <v>1</v>
      </c>
      <c r="F83" s="5" t="s">
        <v>20</v>
      </c>
      <c r="G83" s="5">
        <f>VLOOKUP(F83,Lookup!$A$8:$B$12,2,0)</f>
        <v>5</v>
      </c>
      <c r="H83" s="5" t="s">
        <v>377</v>
      </c>
      <c r="I83" s="5">
        <v>2</v>
      </c>
      <c r="J83" s="5">
        <f>VLOOKUP(I83,Lookup!$A$15:$B$18,2,0)</f>
        <v>3</v>
      </c>
      <c r="K83" s="5" t="s">
        <v>37</v>
      </c>
      <c r="L83" s="5">
        <f>VLOOKUP(K83,Lookup!$D$21:$E$24,2,0)</f>
        <v>2</v>
      </c>
      <c r="M83" s="6">
        <f t="shared" si="35"/>
        <v>2</v>
      </c>
      <c r="N83" s="5">
        <f>VLOOKUP(K83,Lookup!$A$21:$B$24,2,0)</f>
        <v>5</v>
      </c>
      <c r="O83" s="5" t="s">
        <v>378</v>
      </c>
      <c r="P83" s="5" t="s">
        <v>43</v>
      </c>
      <c r="Q83" s="5">
        <f>VLOOKUP(P83,Lookup!$A$27:$B$31,2,0)</f>
        <v>3</v>
      </c>
      <c r="R83" s="6">
        <f t="shared" si="36"/>
        <v>16</v>
      </c>
      <c r="S83" s="6">
        <f>1235*0.1</f>
        <v>123.5</v>
      </c>
      <c r="T83" s="6">
        <v>88</v>
      </c>
      <c r="U83" s="6">
        <f t="shared" si="31"/>
        <v>211.5</v>
      </c>
      <c r="V83" s="6">
        <f t="shared" si="37"/>
        <v>105.75</v>
      </c>
      <c r="W83" s="6">
        <v>80</v>
      </c>
      <c r="X83" s="18" t="s">
        <v>345</v>
      </c>
      <c r="Y83" s="5" t="s">
        <v>379</v>
      </c>
      <c r="Z83" s="33">
        <f t="shared" si="50"/>
        <v>2</v>
      </c>
      <c r="AA83" s="33">
        <v>0</v>
      </c>
      <c r="AB83" s="33">
        <f t="shared" si="38"/>
        <v>0.6</v>
      </c>
      <c r="AC83" s="33">
        <f t="shared" si="39"/>
        <v>0</v>
      </c>
      <c r="AD83" s="33">
        <f t="shared" si="40"/>
        <v>0.6</v>
      </c>
      <c r="AE83" s="33">
        <f t="shared" si="41"/>
        <v>0</v>
      </c>
      <c r="AF83" s="33">
        <f t="shared" si="42"/>
        <v>0.22400000000000003</v>
      </c>
      <c r="AG83" s="34">
        <f t="shared" si="43"/>
        <v>1143.016799999999</v>
      </c>
      <c r="AH83" s="40">
        <f t="shared" si="44"/>
        <v>155.80000000000004</v>
      </c>
      <c r="AI83" s="40">
        <f t="shared" si="45"/>
        <v>11</v>
      </c>
      <c r="AJ83" s="40">
        <f t="shared" si="46"/>
        <v>13</v>
      </c>
      <c r="AK83" s="40">
        <f t="shared" si="47"/>
        <v>11</v>
      </c>
      <c r="AL83" s="40">
        <f t="shared" si="48"/>
        <v>13</v>
      </c>
    </row>
    <row r="84" spans="1:38" x14ac:dyDescent="0.25">
      <c r="A84" s="29">
        <v>97</v>
      </c>
      <c r="B84" s="5" t="s">
        <v>297</v>
      </c>
      <c r="C84" s="5" t="s">
        <v>380</v>
      </c>
      <c r="D84" s="5" t="s">
        <v>17</v>
      </c>
      <c r="E84" s="6">
        <v>3.2</v>
      </c>
      <c r="F84" s="5" t="s">
        <v>22</v>
      </c>
      <c r="G84" s="5">
        <f>VLOOKUP(F84,Lookup!$A$8:$B$12,2,0)</f>
        <v>3</v>
      </c>
      <c r="H84" s="5" t="s">
        <v>381</v>
      </c>
      <c r="I84" s="5">
        <v>2</v>
      </c>
      <c r="J84" s="5">
        <f>VLOOKUP(I84,Lookup!$A$15:$B$18,2,0)</f>
        <v>3</v>
      </c>
      <c r="K84" s="5" t="s">
        <v>37</v>
      </c>
      <c r="L84" s="5">
        <f>VLOOKUP(K84,Lookup!$D$21:$E$24,2,0)</f>
        <v>2</v>
      </c>
      <c r="M84" s="6">
        <f t="shared" si="35"/>
        <v>6.4</v>
      </c>
      <c r="N84" s="5">
        <f>VLOOKUP(K84,Lookup!$A$21:$B$24,2,0)</f>
        <v>5</v>
      </c>
      <c r="O84" s="5" t="s">
        <v>382</v>
      </c>
      <c r="P84" s="5" t="s">
        <v>43</v>
      </c>
      <c r="Q84" s="5">
        <f>VLOOKUP(P84,Lookup!$A$27:$B$31,2,0)</f>
        <v>3</v>
      </c>
      <c r="R84" s="6">
        <f t="shared" si="36"/>
        <v>14</v>
      </c>
      <c r="T84" s="6">
        <v>98</v>
      </c>
      <c r="U84" s="6">
        <f t="shared" si="31"/>
        <v>98</v>
      </c>
      <c r="V84" s="6">
        <f t="shared" si="37"/>
        <v>49</v>
      </c>
      <c r="W84" s="6">
        <v>80</v>
      </c>
      <c r="X84" s="18" t="s">
        <v>216</v>
      </c>
      <c r="Y84" s="5" t="s">
        <v>383</v>
      </c>
      <c r="Z84" s="33">
        <f t="shared" si="50"/>
        <v>6.4</v>
      </c>
      <c r="AA84" s="33">
        <v>0</v>
      </c>
      <c r="AB84" s="33">
        <f t="shared" si="38"/>
        <v>1.92</v>
      </c>
      <c r="AC84" s="33">
        <f t="shared" si="39"/>
        <v>0</v>
      </c>
      <c r="AD84" s="33">
        <f t="shared" si="40"/>
        <v>1.92</v>
      </c>
      <c r="AE84" s="33">
        <f t="shared" si="41"/>
        <v>0</v>
      </c>
      <c r="AF84" s="33">
        <f t="shared" si="42"/>
        <v>0.7168000000000001</v>
      </c>
      <c r="AG84" s="34">
        <f t="shared" si="43"/>
        <v>1153.9735999999989</v>
      </c>
      <c r="AH84" s="40">
        <f t="shared" si="44"/>
        <v>159.00000000000003</v>
      </c>
      <c r="AI84" s="40">
        <f t="shared" si="45"/>
        <v>11</v>
      </c>
      <c r="AJ84" s="40">
        <f t="shared" si="46"/>
        <v>11</v>
      </c>
      <c r="AK84" s="40">
        <f t="shared" si="47"/>
        <v>9</v>
      </c>
      <c r="AL84" s="40">
        <f t="shared" si="48"/>
        <v>11</v>
      </c>
    </row>
    <row r="85" spans="1:38" x14ac:dyDescent="0.25">
      <c r="A85" s="29">
        <v>101</v>
      </c>
      <c r="B85" s="5" t="s">
        <v>212</v>
      </c>
      <c r="C85" s="5" t="s">
        <v>384</v>
      </c>
      <c r="D85" s="5" t="s">
        <v>17</v>
      </c>
      <c r="E85" s="6">
        <v>1.2</v>
      </c>
      <c r="F85" s="5" t="s">
        <v>20</v>
      </c>
      <c r="G85" s="5">
        <f>VLOOKUP(F85,Lookup!$A$8:$B$12,2,0)</f>
        <v>5</v>
      </c>
      <c r="H85" s="5" t="s">
        <v>385</v>
      </c>
      <c r="I85" s="5">
        <v>1</v>
      </c>
      <c r="J85" s="5">
        <f>VLOOKUP(I85,Lookup!$A$15:$B$18,2,0)</f>
        <v>1</v>
      </c>
      <c r="K85" s="5" t="s">
        <v>37</v>
      </c>
      <c r="L85" s="5">
        <f>VLOOKUP(K85,Lookup!$D$21:$E$24,2,0)</f>
        <v>2</v>
      </c>
      <c r="M85" s="6">
        <f t="shared" si="35"/>
        <v>2.4</v>
      </c>
      <c r="N85" s="5">
        <f>VLOOKUP(K85,Lookup!$A$21:$B$24,2,0)</f>
        <v>5</v>
      </c>
      <c r="O85" s="5" t="s">
        <v>386</v>
      </c>
      <c r="P85" s="5" t="s">
        <v>44</v>
      </c>
      <c r="Q85" s="5">
        <f>VLOOKUP(P85,Lookup!$A$27:$B$31,2,0)</f>
        <v>2</v>
      </c>
      <c r="R85" s="6">
        <f t="shared" si="36"/>
        <v>13</v>
      </c>
      <c r="V85" s="6">
        <f t="shared" si="37"/>
        <v>10</v>
      </c>
      <c r="W85" s="6">
        <v>80</v>
      </c>
      <c r="X85" s="18" t="s">
        <v>216</v>
      </c>
      <c r="Z85" s="33">
        <f t="shared" si="50"/>
        <v>2.4</v>
      </c>
      <c r="AA85" s="33">
        <v>0</v>
      </c>
      <c r="AB85" s="33">
        <f t="shared" si="38"/>
        <v>0.72</v>
      </c>
      <c r="AC85" s="33">
        <f t="shared" si="39"/>
        <v>0</v>
      </c>
      <c r="AD85" s="33">
        <f t="shared" si="40"/>
        <v>0.72</v>
      </c>
      <c r="AE85" s="33">
        <f t="shared" si="41"/>
        <v>0</v>
      </c>
      <c r="AF85" s="33">
        <f t="shared" si="42"/>
        <v>0.26880000000000004</v>
      </c>
      <c r="AG85" s="34">
        <f t="shared" si="43"/>
        <v>1158.0823999999989</v>
      </c>
      <c r="AH85" s="40">
        <f t="shared" si="44"/>
        <v>160.20000000000002</v>
      </c>
      <c r="AI85" s="40">
        <f t="shared" si="45"/>
        <v>8</v>
      </c>
      <c r="AJ85" s="40">
        <f t="shared" si="46"/>
        <v>12</v>
      </c>
      <c r="AK85" s="40">
        <f t="shared" si="47"/>
        <v>8</v>
      </c>
      <c r="AL85" s="40">
        <f t="shared" si="48"/>
        <v>11</v>
      </c>
    </row>
    <row r="86" spans="1:38" x14ac:dyDescent="0.25">
      <c r="A86" s="5">
        <v>102</v>
      </c>
      <c r="B86" s="5" t="s">
        <v>212</v>
      </c>
      <c r="C86" s="5" t="s">
        <v>387</v>
      </c>
      <c r="D86" s="5" t="s">
        <v>17</v>
      </c>
      <c r="E86" s="6">
        <v>1.9</v>
      </c>
      <c r="F86" s="5" t="s">
        <v>24</v>
      </c>
      <c r="G86" s="5">
        <f>VLOOKUP(F86,Lookup!$A$8:$B$12,2,0)</f>
        <v>4</v>
      </c>
      <c r="H86" s="5" t="s">
        <v>388</v>
      </c>
      <c r="I86" s="5">
        <v>2</v>
      </c>
      <c r="J86" s="5">
        <f>VLOOKUP(I86,Lookup!$A$15:$B$18,2,0)</f>
        <v>3</v>
      </c>
      <c r="K86" s="5" t="s">
        <v>35</v>
      </c>
      <c r="L86" s="5">
        <v>8</v>
      </c>
      <c r="M86" s="6">
        <f t="shared" si="35"/>
        <v>15.2</v>
      </c>
      <c r="N86" s="5">
        <f>VLOOKUP(K86,Lookup!$A$21:$B$24,2,0)</f>
        <v>3</v>
      </c>
      <c r="O86" s="5" t="s">
        <v>389</v>
      </c>
      <c r="P86" s="5" t="s">
        <v>43</v>
      </c>
      <c r="Q86" s="5">
        <f>VLOOKUP(P86,Lookup!$A$27:$B$31,2,0)</f>
        <v>3</v>
      </c>
      <c r="R86" s="6">
        <f t="shared" si="36"/>
        <v>13</v>
      </c>
      <c r="T86" s="6">
        <v>282</v>
      </c>
      <c r="U86" s="6">
        <f t="shared" ref="U86:U118" si="51">T86+S86</f>
        <v>282</v>
      </c>
      <c r="V86" s="6">
        <f t="shared" si="37"/>
        <v>35.25</v>
      </c>
      <c r="W86" s="6">
        <v>80</v>
      </c>
      <c r="X86" s="18" t="s">
        <v>216</v>
      </c>
      <c r="Z86" s="33">
        <f t="shared" si="50"/>
        <v>15.2</v>
      </c>
      <c r="AA86" s="33">
        <v>0</v>
      </c>
      <c r="AB86" s="33">
        <f t="shared" si="38"/>
        <v>4.5599999999999996</v>
      </c>
      <c r="AC86" s="33">
        <f t="shared" si="39"/>
        <v>0</v>
      </c>
      <c r="AD86" s="33">
        <f t="shared" si="40"/>
        <v>4.5599999999999996</v>
      </c>
      <c r="AE86" s="33">
        <f t="shared" si="41"/>
        <v>0</v>
      </c>
      <c r="AF86" s="33">
        <f t="shared" si="42"/>
        <v>1.7023999999999999</v>
      </c>
      <c r="AG86" s="34">
        <f t="shared" si="43"/>
        <v>1184.1047999999989</v>
      </c>
      <c r="AH86" s="40">
        <f t="shared" si="44"/>
        <v>162.10000000000002</v>
      </c>
      <c r="AI86" s="40">
        <f t="shared" si="45"/>
        <v>9</v>
      </c>
      <c r="AJ86" s="40">
        <f t="shared" si="46"/>
        <v>10</v>
      </c>
      <c r="AK86" s="40">
        <f t="shared" si="47"/>
        <v>10</v>
      </c>
      <c r="AL86" s="40">
        <f t="shared" si="48"/>
        <v>10</v>
      </c>
    </row>
    <row r="87" spans="1:38" x14ac:dyDescent="0.25">
      <c r="A87" s="5">
        <v>111</v>
      </c>
      <c r="B87" s="5" t="s">
        <v>164</v>
      </c>
      <c r="C87" s="5" t="s">
        <v>390</v>
      </c>
      <c r="D87" s="5" t="s">
        <v>18</v>
      </c>
      <c r="E87" s="6">
        <v>2.1</v>
      </c>
      <c r="F87" s="5" t="s">
        <v>24</v>
      </c>
      <c r="G87" s="5">
        <f>VLOOKUP(F87,Lookup!$A$8:$B$12,2,0)</f>
        <v>4</v>
      </c>
      <c r="H87" s="5" t="s">
        <v>391</v>
      </c>
      <c r="I87" s="5">
        <v>2</v>
      </c>
      <c r="J87" s="5">
        <f>VLOOKUP(I87,Lookup!$A$15:$B$18,2,0)</f>
        <v>3</v>
      </c>
      <c r="K87" s="5" t="s">
        <v>37</v>
      </c>
      <c r="L87" s="5">
        <f>VLOOKUP(K87,Lookup!$D$21:$E$24,2,0)</f>
        <v>2</v>
      </c>
      <c r="M87" s="6">
        <f t="shared" si="35"/>
        <v>4.2</v>
      </c>
      <c r="N87" s="5">
        <f>VLOOKUP(K87,Lookup!$A$21:$B$24,2,0)</f>
        <v>5</v>
      </c>
      <c r="O87" s="5" t="s">
        <v>392</v>
      </c>
      <c r="P87" s="5" t="s">
        <v>43</v>
      </c>
      <c r="Q87" s="5">
        <f>VLOOKUP(P87,Lookup!$A$27:$B$31,2,0)</f>
        <v>3</v>
      </c>
      <c r="R87" s="6">
        <f t="shared" si="36"/>
        <v>15</v>
      </c>
      <c r="S87" s="6">
        <f>303*0.1</f>
        <v>30.3</v>
      </c>
      <c r="T87" s="6">
        <v>123</v>
      </c>
      <c r="U87" s="6">
        <f t="shared" si="51"/>
        <v>153.30000000000001</v>
      </c>
      <c r="V87" s="6">
        <f t="shared" si="37"/>
        <v>76.650000000000006</v>
      </c>
      <c r="W87" s="6">
        <v>80</v>
      </c>
      <c r="X87" s="18" t="s">
        <v>393</v>
      </c>
      <c r="Y87" s="5" t="s">
        <v>394</v>
      </c>
      <c r="Z87" s="33">
        <f t="shared" si="50"/>
        <v>4.2</v>
      </c>
      <c r="AA87" s="33">
        <v>0</v>
      </c>
      <c r="AB87" s="33">
        <f t="shared" si="38"/>
        <v>1.26</v>
      </c>
      <c r="AC87" s="33">
        <f t="shared" si="39"/>
        <v>0</v>
      </c>
      <c r="AD87" s="33">
        <f t="shared" si="40"/>
        <v>1.26</v>
      </c>
      <c r="AE87" s="33">
        <f t="shared" si="41"/>
        <v>0</v>
      </c>
      <c r="AF87" s="33">
        <f t="shared" si="42"/>
        <v>0.47040000000000004</v>
      </c>
      <c r="AG87" s="34">
        <f t="shared" si="43"/>
        <v>1191.2951999999989</v>
      </c>
      <c r="AH87" s="40">
        <f t="shared" si="44"/>
        <v>164.20000000000002</v>
      </c>
      <c r="AI87" s="40">
        <f t="shared" si="45"/>
        <v>11</v>
      </c>
      <c r="AJ87" s="40">
        <f t="shared" si="46"/>
        <v>12</v>
      </c>
      <c r="AK87" s="40">
        <f t="shared" si="47"/>
        <v>10</v>
      </c>
      <c r="AL87" s="40">
        <f t="shared" si="48"/>
        <v>12</v>
      </c>
    </row>
    <row r="88" spans="1:38" x14ac:dyDescent="0.25">
      <c r="A88" s="5">
        <v>120</v>
      </c>
      <c r="B88" s="5" t="s">
        <v>395</v>
      </c>
      <c r="C88" s="5" t="s">
        <v>396</v>
      </c>
      <c r="D88" s="5" t="s">
        <v>17</v>
      </c>
      <c r="E88" s="6">
        <v>1.6</v>
      </c>
      <c r="F88" s="5" t="s">
        <v>20</v>
      </c>
      <c r="G88" s="5">
        <f>VLOOKUP(F88,Lookup!$A$8:$B$12,2,0)</f>
        <v>5</v>
      </c>
      <c r="H88" s="5" t="s">
        <v>397</v>
      </c>
      <c r="I88" s="5">
        <v>1</v>
      </c>
      <c r="J88" s="5">
        <f>VLOOKUP(I88,Lookup!$A$15:$B$18,2,0)</f>
        <v>1</v>
      </c>
      <c r="K88" s="5" t="s">
        <v>37</v>
      </c>
      <c r="L88" s="5">
        <f>VLOOKUP(K88,Lookup!$D$21:$E$24,2,0)</f>
        <v>2</v>
      </c>
      <c r="M88" s="6">
        <f t="shared" si="35"/>
        <v>3.2</v>
      </c>
      <c r="N88" s="5">
        <f>VLOOKUP(K88,Lookup!$A$21:$B$24,2,0)</f>
        <v>5</v>
      </c>
      <c r="O88" s="5" t="s">
        <v>338</v>
      </c>
      <c r="P88" s="5" t="s">
        <v>44</v>
      </c>
      <c r="Q88" s="5">
        <f>VLOOKUP(P88,Lookup!$A$27:$B$31,2,0)</f>
        <v>2</v>
      </c>
      <c r="R88" s="6">
        <f t="shared" si="36"/>
        <v>13</v>
      </c>
      <c r="S88" s="6">
        <f>1481/10</f>
        <v>148.1</v>
      </c>
      <c r="U88" s="6">
        <f t="shared" si="51"/>
        <v>148.1</v>
      </c>
      <c r="V88" s="6">
        <f t="shared" si="37"/>
        <v>74.05</v>
      </c>
      <c r="W88" s="6">
        <v>80</v>
      </c>
      <c r="X88" s="18" t="s">
        <v>216</v>
      </c>
      <c r="Z88" s="33">
        <f t="shared" si="50"/>
        <v>3.2</v>
      </c>
      <c r="AA88" s="33">
        <v>0</v>
      </c>
      <c r="AB88" s="33">
        <f t="shared" si="38"/>
        <v>0.96</v>
      </c>
      <c r="AC88" s="33">
        <f t="shared" si="39"/>
        <v>0</v>
      </c>
      <c r="AD88" s="33">
        <f t="shared" si="40"/>
        <v>0.96</v>
      </c>
      <c r="AE88" s="33">
        <f t="shared" si="41"/>
        <v>0</v>
      </c>
      <c r="AF88" s="33">
        <f t="shared" si="42"/>
        <v>0.35840000000000005</v>
      </c>
      <c r="AG88" s="34">
        <f t="shared" si="43"/>
        <v>1196.7735999999989</v>
      </c>
      <c r="AH88" s="40">
        <f t="shared" si="44"/>
        <v>165.8</v>
      </c>
      <c r="AI88" s="40">
        <f t="shared" si="45"/>
        <v>8</v>
      </c>
      <c r="AJ88" s="40">
        <f t="shared" si="46"/>
        <v>12</v>
      </c>
      <c r="AK88" s="40">
        <f t="shared" si="47"/>
        <v>8</v>
      </c>
      <c r="AL88" s="40">
        <f t="shared" si="48"/>
        <v>11</v>
      </c>
    </row>
    <row r="89" spans="1:38" x14ac:dyDescent="0.25">
      <c r="A89" s="29">
        <v>121</v>
      </c>
      <c r="B89" s="5" t="s">
        <v>395</v>
      </c>
      <c r="C89" s="5" t="s">
        <v>398</v>
      </c>
      <c r="D89" s="5" t="s">
        <v>17</v>
      </c>
      <c r="E89" s="6">
        <v>1.1000000000000001</v>
      </c>
      <c r="F89" s="5" t="s">
        <v>20</v>
      </c>
      <c r="G89" s="5">
        <f>VLOOKUP(F89,Lookup!$A$8:$B$12,2,0)</f>
        <v>5</v>
      </c>
      <c r="H89" s="5" t="s">
        <v>182</v>
      </c>
      <c r="I89" s="5">
        <v>1</v>
      </c>
      <c r="J89" s="5">
        <f>VLOOKUP(I89,Lookup!$A$15:$B$18,2,0)</f>
        <v>1</v>
      </c>
      <c r="K89" s="5" t="s">
        <v>37</v>
      </c>
      <c r="L89" s="5">
        <f>VLOOKUP(K89,Lookup!$D$21:$E$24,2,0)</f>
        <v>2</v>
      </c>
      <c r="M89" s="6">
        <f t="shared" si="35"/>
        <v>2.2000000000000002</v>
      </c>
      <c r="N89" s="5">
        <f>VLOOKUP(K89,Lookup!$A$21:$B$24,2,0)</f>
        <v>5</v>
      </c>
      <c r="O89" s="5" t="s">
        <v>338</v>
      </c>
      <c r="P89" s="5" t="s">
        <v>43</v>
      </c>
      <c r="Q89" s="5">
        <f>VLOOKUP(P89,Lookup!$A$27:$B$31,2,0)</f>
        <v>3</v>
      </c>
      <c r="R89" s="6">
        <f t="shared" si="36"/>
        <v>14</v>
      </c>
      <c r="S89" s="6">
        <f>1481/10</f>
        <v>148.1</v>
      </c>
      <c r="U89" s="6">
        <f t="shared" si="51"/>
        <v>148.1</v>
      </c>
      <c r="V89" s="6">
        <f t="shared" si="37"/>
        <v>74.05</v>
      </c>
      <c r="W89" s="6">
        <v>80</v>
      </c>
      <c r="X89" s="18" t="s">
        <v>216</v>
      </c>
      <c r="Z89" s="33">
        <f t="shared" si="50"/>
        <v>2.2000000000000002</v>
      </c>
      <c r="AA89" s="33">
        <v>10</v>
      </c>
      <c r="AB89" s="33">
        <f t="shared" si="38"/>
        <v>0.66</v>
      </c>
      <c r="AC89" s="33">
        <f t="shared" si="39"/>
        <v>3</v>
      </c>
      <c r="AD89" s="33">
        <f t="shared" si="40"/>
        <v>0.66</v>
      </c>
      <c r="AE89" s="33">
        <f t="shared" si="41"/>
        <v>3</v>
      </c>
      <c r="AF89" s="33">
        <f t="shared" si="42"/>
        <v>1.3664000000000001</v>
      </c>
      <c r="AG89" s="34">
        <f t="shared" si="43"/>
        <v>1217.6599999999989</v>
      </c>
      <c r="AH89" s="40">
        <f t="shared" si="44"/>
        <v>166.9</v>
      </c>
      <c r="AI89" s="40">
        <f t="shared" si="45"/>
        <v>9</v>
      </c>
      <c r="AJ89" s="40">
        <f t="shared" si="46"/>
        <v>13</v>
      </c>
      <c r="AK89" s="40">
        <f t="shared" si="47"/>
        <v>9</v>
      </c>
      <c r="AL89" s="40">
        <f t="shared" si="48"/>
        <v>11</v>
      </c>
    </row>
    <row r="90" spans="1:38" x14ac:dyDescent="0.25">
      <c r="A90" s="5">
        <v>123</v>
      </c>
      <c r="B90" s="5" t="s">
        <v>180</v>
      </c>
      <c r="C90" s="5" t="s">
        <v>399</v>
      </c>
      <c r="D90" s="5" t="s">
        <v>18</v>
      </c>
      <c r="E90" s="6">
        <v>2.4</v>
      </c>
      <c r="F90" s="5" t="s">
        <v>20</v>
      </c>
      <c r="G90" s="5">
        <f>VLOOKUP(F90,Lookup!$A$8:$B$12,2,0)</f>
        <v>5</v>
      </c>
      <c r="H90" s="5" t="s">
        <v>182</v>
      </c>
      <c r="I90" s="5">
        <v>1</v>
      </c>
      <c r="J90" s="5">
        <f>VLOOKUP(I90,Lookup!$A$15:$B$18,2,0)</f>
        <v>1</v>
      </c>
      <c r="K90" s="5" t="s">
        <v>37</v>
      </c>
      <c r="L90" s="5">
        <f>VLOOKUP(K90,Lookup!$D$21:$E$24,2,0)</f>
        <v>2</v>
      </c>
      <c r="M90" s="6">
        <f t="shared" si="35"/>
        <v>4.8</v>
      </c>
      <c r="N90" s="5">
        <f>VLOOKUP(K90,Lookup!$A$21:$B$24,2,0)</f>
        <v>5</v>
      </c>
      <c r="O90" s="5" t="s">
        <v>183</v>
      </c>
      <c r="P90" s="5" t="s">
        <v>42</v>
      </c>
      <c r="Q90" s="5">
        <f>VLOOKUP(P90,Lookup!$A$27:$B$31,2,0)</f>
        <v>4</v>
      </c>
      <c r="R90" s="6">
        <f t="shared" si="36"/>
        <v>15</v>
      </c>
      <c r="T90" s="6">
        <v>447</v>
      </c>
      <c r="U90" s="6">
        <f t="shared" si="51"/>
        <v>447</v>
      </c>
      <c r="V90" s="6">
        <f t="shared" si="37"/>
        <v>223.5</v>
      </c>
      <c r="W90" s="6">
        <v>80</v>
      </c>
      <c r="X90" s="18" t="s">
        <v>400</v>
      </c>
      <c r="Z90" s="33">
        <f t="shared" si="50"/>
        <v>4.8</v>
      </c>
      <c r="AA90" s="33">
        <v>0</v>
      </c>
      <c r="AB90" s="33">
        <f t="shared" si="38"/>
        <v>1.44</v>
      </c>
      <c r="AC90" s="33">
        <f t="shared" si="39"/>
        <v>0</v>
      </c>
      <c r="AD90" s="33">
        <f t="shared" si="40"/>
        <v>1.44</v>
      </c>
      <c r="AE90" s="33">
        <f t="shared" si="41"/>
        <v>0</v>
      </c>
      <c r="AF90" s="33">
        <f t="shared" si="42"/>
        <v>0.53760000000000008</v>
      </c>
      <c r="AG90" s="34">
        <f t="shared" si="43"/>
        <v>1225.8775999999989</v>
      </c>
      <c r="AH90" s="40">
        <f t="shared" si="44"/>
        <v>169.3</v>
      </c>
      <c r="AI90" s="40">
        <f t="shared" si="45"/>
        <v>10</v>
      </c>
      <c r="AJ90" s="40">
        <f t="shared" si="46"/>
        <v>14</v>
      </c>
      <c r="AK90" s="40">
        <f t="shared" si="47"/>
        <v>10</v>
      </c>
      <c r="AL90" s="40">
        <f t="shared" si="48"/>
        <v>11</v>
      </c>
    </row>
    <row r="91" spans="1:38" x14ac:dyDescent="0.25">
      <c r="A91" s="29">
        <v>140</v>
      </c>
      <c r="B91" s="5" t="s">
        <v>93</v>
      </c>
      <c r="C91" s="5" t="s">
        <v>401</v>
      </c>
      <c r="D91" s="5" t="s">
        <v>17</v>
      </c>
      <c r="E91" s="6">
        <v>1.9</v>
      </c>
      <c r="F91" s="5" t="s">
        <v>24</v>
      </c>
      <c r="G91" s="5">
        <f>VLOOKUP(F91,Lookup!$A$8:$B$12,2,0)</f>
        <v>4</v>
      </c>
      <c r="H91" s="5" t="s">
        <v>402</v>
      </c>
      <c r="I91" s="5">
        <v>2</v>
      </c>
      <c r="J91" s="5">
        <f>VLOOKUP(I91,Lookup!$A$15:$B$18,2,0)</f>
        <v>3</v>
      </c>
      <c r="K91" s="5" t="s">
        <v>37</v>
      </c>
      <c r="L91" s="5">
        <f>VLOOKUP(K91,Lookup!$D$21:$E$24,2,0)</f>
        <v>2</v>
      </c>
      <c r="M91" s="6">
        <f t="shared" si="35"/>
        <v>3.8</v>
      </c>
      <c r="N91" s="5">
        <f>VLOOKUP(K91,Lookup!$A$21:$B$24,2,0)</f>
        <v>5</v>
      </c>
      <c r="O91" s="5" t="s">
        <v>403</v>
      </c>
      <c r="P91" s="5" t="s">
        <v>43</v>
      </c>
      <c r="Q91" s="5">
        <f>VLOOKUP(P91,Lookup!$A$27:$B$31,2,0)</f>
        <v>3</v>
      </c>
      <c r="R91" s="6">
        <f t="shared" si="36"/>
        <v>15</v>
      </c>
      <c r="S91" s="6">
        <f>1158*0.08</f>
        <v>92.64</v>
      </c>
      <c r="U91" s="6">
        <f t="shared" si="51"/>
        <v>92.64</v>
      </c>
      <c r="V91" s="6">
        <f t="shared" si="37"/>
        <v>46.32</v>
      </c>
      <c r="W91" s="6">
        <v>80</v>
      </c>
      <c r="X91" s="18" t="s">
        <v>345</v>
      </c>
      <c r="Z91" s="33">
        <f t="shared" si="50"/>
        <v>3.8</v>
      </c>
      <c r="AA91" s="33">
        <v>0</v>
      </c>
      <c r="AB91" s="33">
        <f t="shared" si="38"/>
        <v>1.1399999999999999</v>
      </c>
      <c r="AC91" s="33">
        <f t="shared" si="39"/>
        <v>0</v>
      </c>
      <c r="AD91" s="33">
        <f t="shared" si="40"/>
        <v>1.1399999999999999</v>
      </c>
      <c r="AE91" s="33">
        <f t="shared" si="41"/>
        <v>0</v>
      </c>
      <c r="AF91" s="33">
        <f t="shared" si="42"/>
        <v>0.42559999999999998</v>
      </c>
      <c r="AG91" s="34">
        <f t="shared" si="43"/>
        <v>1232.3831999999989</v>
      </c>
      <c r="AH91" s="40">
        <f t="shared" si="44"/>
        <v>171.20000000000002</v>
      </c>
      <c r="AI91" s="40">
        <f t="shared" si="45"/>
        <v>11</v>
      </c>
      <c r="AJ91" s="40">
        <f t="shared" si="46"/>
        <v>12</v>
      </c>
      <c r="AK91" s="40">
        <f t="shared" si="47"/>
        <v>10</v>
      </c>
      <c r="AL91" s="40">
        <f t="shared" si="48"/>
        <v>12</v>
      </c>
    </row>
    <row r="92" spans="1:38" x14ac:dyDescent="0.25">
      <c r="A92" s="29">
        <v>145</v>
      </c>
      <c r="B92" s="5" t="s">
        <v>336</v>
      </c>
      <c r="C92" s="5" t="s">
        <v>404</v>
      </c>
      <c r="D92" s="5" t="s">
        <v>17</v>
      </c>
      <c r="E92" s="6">
        <v>1</v>
      </c>
      <c r="F92" s="5" t="s">
        <v>22</v>
      </c>
      <c r="G92" s="5">
        <f>VLOOKUP(F92,Lookup!$A$8:$B$12,2,0)</f>
        <v>3</v>
      </c>
      <c r="H92" s="5" t="s">
        <v>405</v>
      </c>
      <c r="I92" s="5">
        <v>3</v>
      </c>
      <c r="J92" s="5">
        <f>VLOOKUP(I92,Lookup!$A$15:$B$18,2,0)</f>
        <v>5</v>
      </c>
      <c r="K92" s="5" t="s">
        <v>37</v>
      </c>
      <c r="L92" s="5">
        <f>VLOOKUP(K92,Lookup!$D$21:$E$24,2,0)</f>
        <v>2</v>
      </c>
      <c r="M92" s="6">
        <f t="shared" si="35"/>
        <v>2</v>
      </c>
      <c r="N92" s="5">
        <f>VLOOKUP(K92,Lookup!$A$21:$B$24,2,0)</f>
        <v>5</v>
      </c>
      <c r="O92" s="5" t="s">
        <v>338</v>
      </c>
      <c r="P92" s="5" t="s">
        <v>44</v>
      </c>
      <c r="Q92" s="5">
        <f>VLOOKUP(P92,Lookup!$A$27:$B$31,2,0)</f>
        <v>2</v>
      </c>
      <c r="R92" s="6">
        <f t="shared" si="36"/>
        <v>15</v>
      </c>
      <c r="S92" s="6">
        <f>942*0.1+760*0.1</f>
        <v>170.2</v>
      </c>
      <c r="T92" s="6">
        <v>58</v>
      </c>
      <c r="U92" s="6">
        <f t="shared" si="51"/>
        <v>228.2</v>
      </c>
      <c r="V92" s="6">
        <f t="shared" si="37"/>
        <v>114.1</v>
      </c>
      <c r="W92" s="6">
        <v>80</v>
      </c>
      <c r="X92" s="18" t="s">
        <v>406</v>
      </c>
      <c r="Z92" s="33">
        <f t="shared" si="50"/>
        <v>2</v>
      </c>
      <c r="AA92" s="33">
        <v>0</v>
      </c>
      <c r="AB92" s="33">
        <f t="shared" si="38"/>
        <v>0.6</v>
      </c>
      <c r="AC92" s="33">
        <f t="shared" si="39"/>
        <v>0</v>
      </c>
      <c r="AD92" s="33">
        <f t="shared" si="40"/>
        <v>0.6</v>
      </c>
      <c r="AE92" s="33">
        <f t="shared" si="41"/>
        <v>0</v>
      </c>
      <c r="AF92" s="33">
        <f t="shared" si="42"/>
        <v>0.22400000000000003</v>
      </c>
      <c r="AG92" s="34">
        <f t="shared" si="43"/>
        <v>1235.8071999999988</v>
      </c>
      <c r="AH92" s="40">
        <f t="shared" si="44"/>
        <v>172.20000000000002</v>
      </c>
      <c r="AI92" s="40">
        <f t="shared" si="45"/>
        <v>12</v>
      </c>
      <c r="AJ92" s="40">
        <f t="shared" si="46"/>
        <v>10</v>
      </c>
      <c r="AK92" s="40">
        <f t="shared" si="47"/>
        <v>10</v>
      </c>
      <c r="AL92" s="40">
        <f t="shared" si="48"/>
        <v>13</v>
      </c>
    </row>
    <row r="93" spans="1:38" x14ac:dyDescent="0.25">
      <c r="A93" s="29">
        <v>155</v>
      </c>
      <c r="B93" s="5" t="s">
        <v>118</v>
      </c>
      <c r="C93" s="5" t="s">
        <v>407</v>
      </c>
      <c r="D93" s="5" t="s">
        <v>18</v>
      </c>
      <c r="E93" s="6">
        <v>2.1</v>
      </c>
      <c r="F93" s="5" t="s">
        <v>24</v>
      </c>
      <c r="G93" s="5">
        <f>VLOOKUP(F93,Lookup!$A$8:$B$12,2,0)</f>
        <v>4</v>
      </c>
      <c r="H93" s="5" t="s">
        <v>107</v>
      </c>
      <c r="I93" s="5">
        <v>2</v>
      </c>
      <c r="J93" s="5">
        <f>VLOOKUP(I93,Lookup!$A$15:$B$18,2,0)</f>
        <v>3</v>
      </c>
      <c r="K93" s="5" t="s">
        <v>37</v>
      </c>
      <c r="L93" s="5">
        <f>VLOOKUP(K93,Lookup!$D$21:$E$24,2,0)</f>
        <v>2</v>
      </c>
      <c r="M93" s="6">
        <f t="shared" si="35"/>
        <v>4.2</v>
      </c>
      <c r="N93" s="5">
        <f>VLOOKUP(K93,Lookup!$A$21:$B$24,2,0)</f>
        <v>5</v>
      </c>
      <c r="O93" s="5" t="s">
        <v>403</v>
      </c>
      <c r="P93" s="5" t="s">
        <v>42</v>
      </c>
      <c r="Q93" s="5">
        <f>VLOOKUP(P93,Lookup!$A$27:$B$31,2,0)</f>
        <v>4</v>
      </c>
      <c r="R93" s="6">
        <f t="shared" si="36"/>
        <v>16</v>
      </c>
      <c r="S93" s="6">
        <f>1262*0.1+394*0.1</f>
        <v>165.60000000000002</v>
      </c>
      <c r="U93" s="6">
        <f t="shared" si="51"/>
        <v>165.60000000000002</v>
      </c>
      <c r="V93" s="6">
        <f t="shared" si="37"/>
        <v>82.800000000000011</v>
      </c>
      <c r="W93" s="6">
        <v>80</v>
      </c>
      <c r="X93" s="18" t="s">
        <v>406</v>
      </c>
      <c r="Z93" s="33">
        <f t="shared" si="50"/>
        <v>4.2</v>
      </c>
      <c r="AA93" s="33">
        <v>0</v>
      </c>
      <c r="AB93" s="33">
        <f t="shared" si="38"/>
        <v>1.26</v>
      </c>
      <c r="AC93" s="33">
        <f t="shared" si="39"/>
        <v>0</v>
      </c>
      <c r="AD93" s="33">
        <f t="shared" si="40"/>
        <v>1.26</v>
      </c>
      <c r="AE93" s="33">
        <f t="shared" si="41"/>
        <v>0</v>
      </c>
      <c r="AF93" s="33">
        <f t="shared" si="42"/>
        <v>0.47040000000000004</v>
      </c>
      <c r="AG93" s="34">
        <f t="shared" si="43"/>
        <v>1242.9975999999988</v>
      </c>
      <c r="AH93" s="40">
        <f t="shared" si="44"/>
        <v>174.3</v>
      </c>
      <c r="AI93" s="40">
        <f t="shared" si="45"/>
        <v>12</v>
      </c>
      <c r="AJ93" s="40">
        <f t="shared" si="46"/>
        <v>13</v>
      </c>
      <c r="AK93" s="40">
        <f t="shared" si="47"/>
        <v>11</v>
      </c>
      <c r="AL93" s="40">
        <f t="shared" si="48"/>
        <v>12</v>
      </c>
    </row>
    <row r="94" spans="1:38" x14ac:dyDescent="0.25">
      <c r="A94" s="5">
        <v>156</v>
      </c>
      <c r="B94" s="5" t="s">
        <v>118</v>
      </c>
      <c r="C94" s="5" t="s">
        <v>408</v>
      </c>
      <c r="D94" s="5" t="s">
        <v>18</v>
      </c>
      <c r="E94" s="6">
        <v>2.4</v>
      </c>
      <c r="F94" s="5" t="s">
        <v>24</v>
      </c>
      <c r="G94" s="5">
        <f>VLOOKUP(F94,Lookup!$A$8:$B$12,2,0)</f>
        <v>4</v>
      </c>
      <c r="H94" s="5" t="s">
        <v>122</v>
      </c>
      <c r="I94" s="5">
        <v>2</v>
      </c>
      <c r="J94" s="5">
        <f>VLOOKUP(I94,Lookup!$A$15:$B$18,2,0)</f>
        <v>3</v>
      </c>
      <c r="K94" s="5" t="s">
        <v>37</v>
      </c>
      <c r="L94" s="5">
        <f>VLOOKUP(K94,Lookup!$D$21:$E$24,2,0)</f>
        <v>2</v>
      </c>
      <c r="M94" s="6">
        <f t="shared" si="35"/>
        <v>4.8</v>
      </c>
      <c r="N94" s="5">
        <f>VLOOKUP(K94,Lookup!$A$21:$B$24,2,0)</f>
        <v>5</v>
      </c>
      <c r="O94" s="5" t="s">
        <v>403</v>
      </c>
      <c r="P94" s="5" t="s">
        <v>42</v>
      </c>
      <c r="Q94" s="5">
        <f>VLOOKUP(P94,Lookup!$A$27:$B$31,2,0)</f>
        <v>4</v>
      </c>
      <c r="R94" s="6">
        <f t="shared" si="36"/>
        <v>16</v>
      </c>
      <c r="S94" s="6">
        <f>S93</f>
        <v>165.60000000000002</v>
      </c>
      <c r="U94" s="6">
        <f t="shared" si="51"/>
        <v>165.60000000000002</v>
      </c>
      <c r="V94" s="6">
        <f t="shared" si="37"/>
        <v>82.800000000000011</v>
      </c>
      <c r="W94" s="6">
        <v>80</v>
      </c>
      <c r="X94" s="18" t="s">
        <v>406</v>
      </c>
      <c r="Z94" s="33">
        <f t="shared" si="50"/>
        <v>4.8</v>
      </c>
      <c r="AA94" s="33">
        <v>0</v>
      </c>
      <c r="AB94" s="33">
        <f t="shared" si="38"/>
        <v>1.44</v>
      </c>
      <c r="AC94" s="33">
        <f t="shared" si="39"/>
        <v>0</v>
      </c>
      <c r="AD94" s="33">
        <f t="shared" si="40"/>
        <v>1.44</v>
      </c>
      <c r="AE94" s="33">
        <f t="shared" si="41"/>
        <v>0</v>
      </c>
      <c r="AF94" s="33">
        <f t="shared" si="42"/>
        <v>0.53760000000000008</v>
      </c>
      <c r="AG94" s="34">
        <f t="shared" si="43"/>
        <v>1251.2151999999987</v>
      </c>
      <c r="AH94" s="40">
        <f t="shared" si="44"/>
        <v>176.70000000000002</v>
      </c>
      <c r="AI94" s="40">
        <f t="shared" si="45"/>
        <v>12</v>
      </c>
      <c r="AJ94" s="40">
        <f t="shared" si="46"/>
        <v>13</v>
      </c>
      <c r="AK94" s="40">
        <f t="shared" si="47"/>
        <v>11</v>
      </c>
      <c r="AL94" s="40">
        <f t="shared" si="48"/>
        <v>12</v>
      </c>
    </row>
    <row r="95" spans="1:38" s="24" customFormat="1" x14ac:dyDescent="0.25">
      <c r="A95" s="43">
        <v>157</v>
      </c>
      <c r="B95" s="24" t="s">
        <v>118</v>
      </c>
      <c r="C95" s="24" t="s">
        <v>409</v>
      </c>
      <c r="D95" s="24" t="s">
        <v>18</v>
      </c>
      <c r="E95" s="31">
        <v>1.2</v>
      </c>
      <c r="F95" s="24" t="s">
        <v>24</v>
      </c>
      <c r="G95" s="24">
        <f>VLOOKUP(F95,Lookup!$A$8:$B$12,2,0)</f>
        <v>4</v>
      </c>
      <c r="H95" s="24" t="s">
        <v>122</v>
      </c>
      <c r="I95" s="24">
        <v>2</v>
      </c>
      <c r="J95" s="24">
        <f>VLOOKUP(I95,Lookup!$A$15:$B$18,2,0)</f>
        <v>3</v>
      </c>
      <c r="K95" s="24" t="s">
        <v>37</v>
      </c>
      <c r="L95" s="24">
        <f>VLOOKUP(K95,Lookup!$D$21:$E$24,2,0)</f>
        <v>2</v>
      </c>
      <c r="M95" s="31">
        <f t="shared" si="35"/>
        <v>2.4</v>
      </c>
      <c r="N95" s="24">
        <f>VLOOKUP(K95,Lookup!$A$21:$B$24,2,0)</f>
        <v>5</v>
      </c>
      <c r="O95" s="24" t="s">
        <v>410</v>
      </c>
      <c r="P95" s="24" t="s">
        <v>44</v>
      </c>
      <c r="Q95" s="24">
        <f>VLOOKUP(P95,Lookup!$A$27:$B$31,2,0)</f>
        <v>2</v>
      </c>
      <c r="R95" s="31">
        <f t="shared" si="36"/>
        <v>14</v>
      </c>
      <c r="S95" s="31">
        <f>1262*0.1+394*0.1</f>
        <v>165.60000000000002</v>
      </c>
      <c r="T95" s="31"/>
      <c r="U95" s="31">
        <f t="shared" si="51"/>
        <v>165.60000000000002</v>
      </c>
      <c r="V95" s="31">
        <f t="shared" si="37"/>
        <v>82.800000000000011</v>
      </c>
      <c r="W95" s="31">
        <v>80</v>
      </c>
      <c r="X95" s="44" t="s">
        <v>216</v>
      </c>
      <c r="Z95" s="35">
        <f t="shared" si="50"/>
        <v>2.4</v>
      </c>
      <c r="AA95" s="35">
        <v>0</v>
      </c>
      <c r="AB95" s="35">
        <f t="shared" si="38"/>
        <v>0.72</v>
      </c>
      <c r="AC95" s="35">
        <f t="shared" si="39"/>
        <v>0</v>
      </c>
      <c r="AD95" s="35">
        <f t="shared" si="40"/>
        <v>0.72</v>
      </c>
      <c r="AE95" s="35">
        <f t="shared" si="41"/>
        <v>0</v>
      </c>
      <c r="AF95" s="35">
        <f t="shared" si="42"/>
        <v>0.26880000000000004</v>
      </c>
      <c r="AG95" s="38">
        <f t="shared" si="43"/>
        <v>1255.3239999999987</v>
      </c>
      <c r="AH95" s="45">
        <f t="shared" si="44"/>
        <v>177.9</v>
      </c>
      <c r="AI95" s="40">
        <f t="shared" si="45"/>
        <v>10</v>
      </c>
      <c r="AJ95" s="40">
        <f t="shared" si="46"/>
        <v>11</v>
      </c>
      <c r="AK95" s="40">
        <f t="shared" si="47"/>
        <v>9</v>
      </c>
      <c r="AL95" s="40">
        <f t="shared" si="48"/>
        <v>12</v>
      </c>
    </row>
    <row r="96" spans="1:38" x14ac:dyDescent="0.25">
      <c r="A96" s="29">
        <v>41</v>
      </c>
      <c r="B96" s="5" t="s">
        <v>146</v>
      </c>
      <c r="C96" s="5" t="s">
        <v>411</v>
      </c>
      <c r="D96" s="5" t="s">
        <v>17</v>
      </c>
      <c r="E96" s="6">
        <v>1</v>
      </c>
      <c r="F96" s="5" t="s">
        <v>24</v>
      </c>
      <c r="G96" s="5">
        <f>VLOOKUP(F96,Lookup!$A$8:$B$12,2,0)</f>
        <v>4</v>
      </c>
      <c r="H96" s="5" t="s">
        <v>412</v>
      </c>
      <c r="I96" s="5">
        <v>2</v>
      </c>
      <c r="J96" s="5">
        <f>VLOOKUP(I96,Lookup!$A$15:$B$18,2,0)</f>
        <v>3</v>
      </c>
      <c r="K96" s="5" t="s">
        <v>33</v>
      </c>
      <c r="L96" s="5">
        <f>VLOOKUP(K96,Lookup!$D$21:$E$24,2,0)</f>
        <v>10</v>
      </c>
      <c r="M96" s="6">
        <f t="shared" si="35"/>
        <v>10</v>
      </c>
      <c r="N96" s="5">
        <f>VLOOKUP(K96,Lookup!$A$21:$B$24,2,0)</f>
        <v>2</v>
      </c>
      <c r="O96" s="5" t="s">
        <v>152</v>
      </c>
      <c r="P96" s="5" t="s">
        <v>42</v>
      </c>
      <c r="Q96" s="5">
        <f>VLOOKUP(P96,Lookup!$A$27:$B$31,2,0)</f>
        <v>4</v>
      </c>
      <c r="R96" s="6">
        <f t="shared" si="36"/>
        <v>13</v>
      </c>
      <c r="T96" s="6">
        <v>276</v>
      </c>
      <c r="U96" s="6">
        <f t="shared" si="51"/>
        <v>276</v>
      </c>
      <c r="V96" s="6">
        <f t="shared" si="37"/>
        <v>27.6</v>
      </c>
      <c r="W96" s="6">
        <v>100</v>
      </c>
      <c r="X96" s="18" t="s">
        <v>216</v>
      </c>
      <c r="Z96" s="33">
        <f t="shared" si="50"/>
        <v>10</v>
      </c>
      <c r="AA96" s="33">
        <v>0</v>
      </c>
      <c r="AB96" s="33">
        <f t="shared" si="38"/>
        <v>3</v>
      </c>
      <c r="AC96" s="33">
        <f t="shared" si="39"/>
        <v>0</v>
      </c>
      <c r="AD96" s="33">
        <f t="shared" si="40"/>
        <v>3</v>
      </c>
      <c r="AE96" s="33">
        <f t="shared" si="41"/>
        <v>0</v>
      </c>
      <c r="AF96" s="33">
        <f t="shared" si="42"/>
        <v>1.1200000000000001</v>
      </c>
      <c r="AG96" s="34">
        <f t="shared" si="43"/>
        <v>1272.4439999999986</v>
      </c>
      <c r="AH96" s="40">
        <f t="shared" si="44"/>
        <v>178.9</v>
      </c>
      <c r="AI96" s="40">
        <f t="shared" si="45"/>
        <v>9</v>
      </c>
      <c r="AJ96" s="40">
        <f t="shared" si="46"/>
        <v>10</v>
      </c>
      <c r="AK96" s="40">
        <f t="shared" si="47"/>
        <v>11</v>
      </c>
      <c r="AL96" s="40">
        <f t="shared" si="48"/>
        <v>9</v>
      </c>
    </row>
    <row r="97" spans="1:38" x14ac:dyDescent="0.25">
      <c r="A97" s="5">
        <v>45</v>
      </c>
      <c r="B97" s="5" t="s">
        <v>124</v>
      </c>
      <c r="C97" s="5" t="s">
        <v>413</v>
      </c>
      <c r="D97" s="5" t="s">
        <v>17</v>
      </c>
      <c r="E97" s="6">
        <v>2</v>
      </c>
      <c r="F97" s="5" t="s">
        <v>20</v>
      </c>
      <c r="G97" s="5">
        <f>VLOOKUP(F97,Lookup!$A$8:$B$12,2,0)</f>
        <v>5</v>
      </c>
      <c r="H97" s="5" t="s">
        <v>414</v>
      </c>
      <c r="I97" s="5">
        <v>2</v>
      </c>
      <c r="J97" s="5">
        <f>VLOOKUP(I97,Lookup!$A$15:$B$18,2,0)</f>
        <v>3</v>
      </c>
      <c r="K97" s="5" t="s">
        <v>35</v>
      </c>
      <c r="L97" s="5">
        <f>VLOOKUP(K97,Lookup!$D$21:$E$24,2,0)</f>
        <v>5</v>
      </c>
      <c r="M97" s="6">
        <f t="shared" si="35"/>
        <v>10</v>
      </c>
      <c r="N97" s="5">
        <f>VLOOKUP(K97,Lookup!$A$21:$B$24,2,0)</f>
        <v>3</v>
      </c>
      <c r="O97" s="5" t="s">
        <v>415</v>
      </c>
      <c r="P97" s="5" t="s">
        <v>44</v>
      </c>
      <c r="Q97" s="5">
        <f>VLOOKUP(P97,Lookup!$A$27:$B$31,2,0)</f>
        <v>2</v>
      </c>
      <c r="R97" s="6">
        <f t="shared" si="36"/>
        <v>13</v>
      </c>
      <c r="T97" s="6">
        <v>230</v>
      </c>
      <c r="U97" s="6">
        <f t="shared" si="51"/>
        <v>230</v>
      </c>
      <c r="V97" s="6">
        <f t="shared" si="37"/>
        <v>46</v>
      </c>
      <c r="W97" s="6">
        <v>100</v>
      </c>
      <c r="X97" s="18" t="s">
        <v>216</v>
      </c>
      <c r="Y97" s="5" t="s">
        <v>128</v>
      </c>
      <c r="Z97" s="33">
        <f t="shared" si="50"/>
        <v>10</v>
      </c>
      <c r="AA97" s="33">
        <v>0</v>
      </c>
      <c r="AB97" s="33">
        <f t="shared" si="38"/>
        <v>3</v>
      </c>
      <c r="AC97" s="33">
        <f t="shared" si="39"/>
        <v>0</v>
      </c>
      <c r="AD97" s="33">
        <f t="shared" si="40"/>
        <v>3</v>
      </c>
      <c r="AE97" s="33">
        <f t="shared" si="41"/>
        <v>0</v>
      </c>
      <c r="AF97" s="33">
        <f t="shared" si="42"/>
        <v>1.1200000000000001</v>
      </c>
      <c r="AG97" s="34">
        <f t="shared" si="43"/>
        <v>1289.5639999999985</v>
      </c>
      <c r="AH97" s="40">
        <f t="shared" si="44"/>
        <v>180.9</v>
      </c>
      <c r="AI97" s="40">
        <f t="shared" si="45"/>
        <v>8</v>
      </c>
      <c r="AJ97" s="40">
        <f t="shared" si="46"/>
        <v>10</v>
      </c>
      <c r="AK97" s="40">
        <f t="shared" si="47"/>
        <v>10</v>
      </c>
      <c r="AL97" s="40">
        <f t="shared" si="48"/>
        <v>11</v>
      </c>
    </row>
    <row r="98" spans="1:38" x14ac:dyDescent="0.25">
      <c r="A98" s="29">
        <v>47</v>
      </c>
      <c r="B98" s="5" t="s">
        <v>124</v>
      </c>
      <c r="C98" s="5" t="s">
        <v>416</v>
      </c>
      <c r="D98" s="5" t="s">
        <v>17</v>
      </c>
      <c r="E98" s="6">
        <v>3.1</v>
      </c>
      <c r="F98" s="5" t="s">
        <v>28</v>
      </c>
      <c r="G98" s="5">
        <f>VLOOKUP(F98,Lookup!$A$8:$B$12,2,0)</f>
        <v>0</v>
      </c>
      <c r="I98" s="5">
        <v>3</v>
      </c>
      <c r="J98" s="5">
        <f>VLOOKUP(I98,Lookup!$A$15:$B$18,2,0)</f>
        <v>5</v>
      </c>
      <c r="K98" s="5" t="s">
        <v>37</v>
      </c>
      <c r="L98" s="5">
        <f>VLOOKUP(K98,Lookup!$D$21:$E$24,2,0)</f>
        <v>2</v>
      </c>
      <c r="M98" s="6">
        <f t="shared" si="35"/>
        <v>6.2</v>
      </c>
      <c r="N98" s="5">
        <f>VLOOKUP(K98,Lookup!$A$21:$B$24,2,0)</f>
        <v>5</v>
      </c>
      <c r="O98" s="5" t="s">
        <v>116</v>
      </c>
      <c r="P98" s="5" t="s">
        <v>44</v>
      </c>
      <c r="Q98" s="5">
        <f>VLOOKUP(P98,Lookup!$A$27:$B$31,2,0)</f>
        <v>2</v>
      </c>
      <c r="R98" s="6">
        <f t="shared" si="36"/>
        <v>12</v>
      </c>
      <c r="T98" s="6">
        <v>184</v>
      </c>
      <c r="U98" s="6">
        <f t="shared" si="51"/>
        <v>184</v>
      </c>
      <c r="V98" s="6">
        <f t="shared" si="37"/>
        <v>92</v>
      </c>
      <c r="W98" s="6">
        <v>100</v>
      </c>
      <c r="X98" s="18" t="s">
        <v>417</v>
      </c>
      <c r="Y98" s="5" t="s">
        <v>128</v>
      </c>
      <c r="Z98" s="33">
        <f t="shared" si="50"/>
        <v>6.2</v>
      </c>
      <c r="AA98" s="33">
        <v>0</v>
      </c>
      <c r="AB98" s="33">
        <f t="shared" si="38"/>
        <v>1.8599999999999999</v>
      </c>
      <c r="AC98" s="33">
        <f t="shared" si="39"/>
        <v>0</v>
      </c>
      <c r="AD98" s="33">
        <f t="shared" si="40"/>
        <v>1.8599999999999999</v>
      </c>
      <c r="AE98" s="33">
        <f t="shared" si="41"/>
        <v>0</v>
      </c>
      <c r="AF98" s="33">
        <f t="shared" si="42"/>
        <v>0.69440000000000002</v>
      </c>
      <c r="AG98" s="34">
        <f t="shared" si="43"/>
        <v>1300.1783999999984</v>
      </c>
      <c r="AH98" s="40">
        <f t="shared" si="44"/>
        <v>184</v>
      </c>
      <c r="AI98" s="40">
        <f t="shared" si="45"/>
        <v>12</v>
      </c>
      <c r="AJ98" s="40">
        <f t="shared" si="46"/>
        <v>7</v>
      </c>
      <c r="AK98" s="40">
        <f t="shared" si="47"/>
        <v>7</v>
      </c>
      <c r="AL98" s="40">
        <f t="shared" si="48"/>
        <v>10</v>
      </c>
    </row>
    <row r="99" spans="1:38" x14ac:dyDescent="0.25">
      <c r="A99" s="29">
        <v>86</v>
      </c>
      <c r="B99" s="5" t="s">
        <v>418</v>
      </c>
      <c r="C99" s="5" t="s">
        <v>419</v>
      </c>
      <c r="D99" s="5" t="s">
        <v>17</v>
      </c>
      <c r="E99" s="6">
        <v>1</v>
      </c>
      <c r="F99" s="5" t="s">
        <v>20</v>
      </c>
      <c r="G99" s="5">
        <f>VLOOKUP(F99,Lookup!$A$8:$B$12,2,0)</f>
        <v>5</v>
      </c>
      <c r="H99" s="5" t="s">
        <v>420</v>
      </c>
      <c r="I99" s="5">
        <v>2</v>
      </c>
      <c r="J99" s="5">
        <f>VLOOKUP(I99,Lookup!$A$15:$B$18,2,0)</f>
        <v>3</v>
      </c>
      <c r="K99" s="5" t="s">
        <v>33</v>
      </c>
      <c r="L99" s="5">
        <f>VLOOKUP(K99,Lookup!$D$21:$E$24,2,0)</f>
        <v>10</v>
      </c>
      <c r="M99" s="6">
        <f t="shared" ref="M99:M130" si="52">E99*L99</f>
        <v>10</v>
      </c>
      <c r="N99" s="5">
        <f>VLOOKUP(K99,Lookup!$A$21:$B$24,2,0)</f>
        <v>2</v>
      </c>
      <c r="O99" s="5" t="s">
        <v>421</v>
      </c>
      <c r="P99" s="5" t="s">
        <v>44</v>
      </c>
      <c r="Q99" s="5">
        <f>VLOOKUP(P99,Lookup!$A$27:$B$31,2,0)</f>
        <v>2</v>
      </c>
      <c r="R99" s="6">
        <f t="shared" ref="R99:R130" si="53">G99+J99+N99+Q99</f>
        <v>12</v>
      </c>
      <c r="T99" s="6">
        <v>583</v>
      </c>
      <c r="U99" s="6">
        <f t="shared" si="51"/>
        <v>583</v>
      </c>
      <c r="V99" s="6">
        <f t="shared" ref="V99:V130" si="54">(IF(ISBLANK(U99)=TRUE,20,U99)*E99)/M99</f>
        <v>58.3</v>
      </c>
      <c r="W99" s="6">
        <v>100</v>
      </c>
      <c r="X99" s="18" t="s">
        <v>105</v>
      </c>
      <c r="Z99" s="33">
        <f t="shared" si="50"/>
        <v>10</v>
      </c>
      <c r="AA99" s="33">
        <v>0</v>
      </c>
      <c r="AB99" s="33">
        <f t="shared" ref="AB99:AB130" si="55">Z99*0.3</f>
        <v>3</v>
      </c>
      <c r="AC99" s="33">
        <f t="shared" ref="AC99:AC130" si="56">AA99*0.3</f>
        <v>0</v>
      </c>
      <c r="AD99" s="33">
        <f t="shared" ref="AD99:AD130" si="57">Z99*0.3</f>
        <v>3</v>
      </c>
      <c r="AE99" s="33">
        <f t="shared" ref="AE99:AE130" si="58">AA99*0.3</f>
        <v>0</v>
      </c>
      <c r="AF99" s="33">
        <f t="shared" ref="AF99:AF130" si="59">SUM(Z99:AE99)*0.07</f>
        <v>1.1200000000000001</v>
      </c>
      <c r="AG99" s="34">
        <f t="shared" ref="AG99:AG130" si="60">SUM(Z99:AF99)+AG98</f>
        <v>1317.2983999999983</v>
      </c>
      <c r="AH99" s="40">
        <f t="shared" ref="AH99:AH130" si="61">AH98+E99</f>
        <v>185</v>
      </c>
      <c r="AI99" s="40">
        <f t="shared" ref="AI99:AI130" si="62">R99-G99</f>
        <v>7</v>
      </c>
      <c r="AJ99" s="40">
        <f t="shared" ref="AJ99:AJ130" si="63">R99-J99</f>
        <v>9</v>
      </c>
      <c r="AK99" s="40">
        <f t="shared" ref="AK99:AK130" si="64">R99-N99</f>
        <v>10</v>
      </c>
      <c r="AL99" s="40">
        <f t="shared" ref="AL99:AL130" si="65">R99-Q99</f>
        <v>10</v>
      </c>
    </row>
    <row r="100" spans="1:38" x14ac:dyDescent="0.25">
      <c r="A100" s="5">
        <v>105</v>
      </c>
      <c r="B100" s="5" t="s">
        <v>422</v>
      </c>
      <c r="C100" s="5" t="s">
        <v>423</v>
      </c>
      <c r="D100" s="5" t="s">
        <v>17</v>
      </c>
      <c r="E100" s="6">
        <v>2.2999999999999998</v>
      </c>
      <c r="F100" s="5" t="s">
        <v>20</v>
      </c>
      <c r="G100" s="5">
        <f>VLOOKUP(F100,Lookup!$A$8:$B$12,2,0)</f>
        <v>5</v>
      </c>
      <c r="H100" s="5" t="s">
        <v>424</v>
      </c>
      <c r="I100" s="5">
        <v>1</v>
      </c>
      <c r="J100" s="5">
        <f>VLOOKUP(I100,Lookup!$A$15:$B$18,2,0)</f>
        <v>1</v>
      </c>
      <c r="K100" s="5" t="s">
        <v>37</v>
      </c>
      <c r="L100" s="5">
        <f>VLOOKUP(K100,Lookup!$D$21:$E$24,2,0)</f>
        <v>2</v>
      </c>
      <c r="M100" s="6">
        <f t="shared" si="52"/>
        <v>4.5999999999999996</v>
      </c>
      <c r="N100" s="5">
        <f>VLOOKUP(K100,Lookup!$A$21:$B$24,2,0)</f>
        <v>5</v>
      </c>
      <c r="O100" s="5" t="s">
        <v>425</v>
      </c>
      <c r="P100" s="5" t="s">
        <v>44</v>
      </c>
      <c r="Q100" s="5">
        <f>VLOOKUP(P100,Lookup!$A$27:$B$31,2,0)</f>
        <v>2</v>
      </c>
      <c r="R100" s="6">
        <f t="shared" si="53"/>
        <v>13</v>
      </c>
      <c r="S100" s="6">
        <f>772*0.1</f>
        <v>77.2</v>
      </c>
      <c r="U100" s="6">
        <f t="shared" si="51"/>
        <v>77.2</v>
      </c>
      <c r="V100" s="6">
        <f t="shared" si="54"/>
        <v>38.6</v>
      </c>
      <c r="W100" s="6">
        <v>100</v>
      </c>
      <c r="X100" s="18" t="s">
        <v>216</v>
      </c>
      <c r="Z100" s="33">
        <f t="shared" si="50"/>
        <v>4.5999999999999996</v>
      </c>
      <c r="AA100" s="33">
        <v>0</v>
      </c>
      <c r="AB100" s="33">
        <f t="shared" si="55"/>
        <v>1.38</v>
      </c>
      <c r="AC100" s="33">
        <f t="shared" si="56"/>
        <v>0</v>
      </c>
      <c r="AD100" s="33">
        <f t="shared" si="57"/>
        <v>1.38</v>
      </c>
      <c r="AE100" s="33">
        <f t="shared" si="58"/>
        <v>0</v>
      </c>
      <c r="AF100" s="33">
        <f t="shared" si="59"/>
        <v>0.51519999999999999</v>
      </c>
      <c r="AG100" s="34">
        <f t="shared" si="60"/>
        <v>1325.1735999999983</v>
      </c>
      <c r="AH100" s="40">
        <f t="shared" si="61"/>
        <v>187.3</v>
      </c>
      <c r="AI100" s="40">
        <f t="shared" si="62"/>
        <v>8</v>
      </c>
      <c r="AJ100" s="40">
        <f t="shared" si="63"/>
        <v>12</v>
      </c>
      <c r="AK100" s="40">
        <f t="shared" si="64"/>
        <v>8</v>
      </c>
      <c r="AL100" s="40">
        <f t="shared" si="65"/>
        <v>11</v>
      </c>
    </row>
    <row r="101" spans="1:38" x14ac:dyDescent="0.25">
      <c r="A101" s="29">
        <v>118</v>
      </c>
      <c r="B101" s="5" t="s">
        <v>395</v>
      </c>
      <c r="C101" s="5" t="s">
        <v>426</v>
      </c>
      <c r="D101" s="5" t="s">
        <v>18</v>
      </c>
      <c r="E101" s="6">
        <v>2.8</v>
      </c>
      <c r="F101" s="5" t="s">
        <v>28</v>
      </c>
      <c r="G101" s="5">
        <f>VLOOKUP(F101,Lookup!$A$8:$B$12,2,0)</f>
        <v>0</v>
      </c>
      <c r="I101" s="5">
        <v>1</v>
      </c>
      <c r="J101" s="5">
        <f>VLOOKUP(I101,Lookup!$A$15:$B$18,2,0)</f>
        <v>1</v>
      </c>
      <c r="K101" s="5" t="s">
        <v>37</v>
      </c>
      <c r="L101" s="5">
        <f>VLOOKUP(K101,Lookup!$D$21:$E$24,2,0)</f>
        <v>2</v>
      </c>
      <c r="M101" s="6">
        <f t="shared" si="52"/>
        <v>5.6</v>
      </c>
      <c r="N101" s="5">
        <f>VLOOKUP(K101,Lookup!$A$21:$B$24,2,0)</f>
        <v>5</v>
      </c>
      <c r="O101" s="5" t="s">
        <v>338</v>
      </c>
      <c r="P101" s="5" t="s">
        <v>43</v>
      </c>
      <c r="Q101" s="5">
        <f>VLOOKUP(P101,Lookup!$A$27:$B$31,2,0)</f>
        <v>3</v>
      </c>
      <c r="R101" s="6">
        <f t="shared" si="53"/>
        <v>9</v>
      </c>
      <c r="S101" s="6">
        <f>1481/10</f>
        <v>148.1</v>
      </c>
      <c r="U101" s="6">
        <f t="shared" si="51"/>
        <v>148.1</v>
      </c>
      <c r="V101" s="6">
        <f t="shared" si="54"/>
        <v>74.05</v>
      </c>
      <c r="W101" s="6">
        <v>100</v>
      </c>
      <c r="X101" s="18" t="s">
        <v>427</v>
      </c>
      <c r="Z101" s="33">
        <f t="shared" si="50"/>
        <v>5.6</v>
      </c>
      <c r="AA101" s="33">
        <v>0</v>
      </c>
      <c r="AB101" s="33">
        <f t="shared" si="55"/>
        <v>1.68</v>
      </c>
      <c r="AC101" s="33">
        <f t="shared" si="56"/>
        <v>0</v>
      </c>
      <c r="AD101" s="33">
        <f t="shared" si="57"/>
        <v>1.68</v>
      </c>
      <c r="AE101" s="33">
        <f t="shared" si="58"/>
        <v>0</v>
      </c>
      <c r="AF101" s="33">
        <f t="shared" si="59"/>
        <v>0.62719999999999998</v>
      </c>
      <c r="AG101" s="34">
        <f t="shared" si="60"/>
        <v>1334.7607999999982</v>
      </c>
      <c r="AH101" s="40">
        <f t="shared" si="61"/>
        <v>190.10000000000002</v>
      </c>
      <c r="AI101" s="40">
        <f t="shared" si="62"/>
        <v>9</v>
      </c>
      <c r="AJ101" s="40">
        <f t="shared" si="63"/>
        <v>8</v>
      </c>
      <c r="AK101" s="40">
        <f t="shared" si="64"/>
        <v>4</v>
      </c>
      <c r="AL101" s="40">
        <f t="shared" si="65"/>
        <v>6</v>
      </c>
    </row>
    <row r="102" spans="1:38" x14ac:dyDescent="0.25">
      <c r="A102" s="29">
        <v>119</v>
      </c>
      <c r="B102" s="5" t="s">
        <v>395</v>
      </c>
      <c r="C102" s="5" t="s">
        <v>428</v>
      </c>
      <c r="D102" s="5" t="s">
        <v>18</v>
      </c>
      <c r="E102" s="6">
        <v>1.3</v>
      </c>
      <c r="F102" s="5" t="s">
        <v>28</v>
      </c>
      <c r="G102" s="5">
        <f>VLOOKUP(F102,Lookup!$A$8:$B$12,2,0)</f>
        <v>0</v>
      </c>
      <c r="I102" s="5">
        <v>1</v>
      </c>
      <c r="J102" s="5">
        <f>VLOOKUP(I102,Lookup!$A$15:$B$18,2,0)</f>
        <v>1</v>
      </c>
      <c r="K102" s="5" t="s">
        <v>37</v>
      </c>
      <c r="L102" s="5">
        <f>VLOOKUP(K102,Lookup!$D$21:$E$24,2,0)</f>
        <v>2</v>
      </c>
      <c r="M102" s="6">
        <f t="shared" si="52"/>
        <v>2.6</v>
      </c>
      <c r="N102" s="5">
        <f>VLOOKUP(K102,Lookup!$A$21:$B$24,2,0)</f>
        <v>5</v>
      </c>
      <c r="O102" s="5" t="s">
        <v>429</v>
      </c>
      <c r="P102" s="5" t="s">
        <v>45</v>
      </c>
      <c r="Q102" s="5">
        <f>VLOOKUP(P102,Lookup!$A$27:$B$31,2,0)</f>
        <v>1</v>
      </c>
      <c r="R102" s="6">
        <f t="shared" si="53"/>
        <v>7</v>
      </c>
      <c r="S102" s="6">
        <f>1481/10</f>
        <v>148.1</v>
      </c>
      <c r="U102" s="6">
        <f t="shared" si="51"/>
        <v>148.1</v>
      </c>
      <c r="V102" s="6">
        <f t="shared" si="54"/>
        <v>74.05</v>
      </c>
      <c r="W102" s="6">
        <v>100</v>
      </c>
      <c r="X102" s="18" t="s">
        <v>427</v>
      </c>
      <c r="Z102" s="33">
        <f t="shared" si="50"/>
        <v>2.6</v>
      </c>
      <c r="AA102" s="33">
        <v>0</v>
      </c>
      <c r="AB102" s="33">
        <f t="shared" si="55"/>
        <v>0.78</v>
      </c>
      <c r="AC102" s="33">
        <f t="shared" si="56"/>
        <v>0</v>
      </c>
      <c r="AD102" s="33">
        <f t="shared" si="57"/>
        <v>0.78</v>
      </c>
      <c r="AE102" s="33">
        <f t="shared" si="58"/>
        <v>0</v>
      </c>
      <c r="AF102" s="33">
        <f t="shared" si="59"/>
        <v>0.29120000000000001</v>
      </c>
      <c r="AG102" s="34">
        <f t="shared" si="60"/>
        <v>1339.2119999999982</v>
      </c>
      <c r="AH102" s="40">
        <f t="shared" si="61"/>
        <v>191.40000000000003</v>
      </c>
      <c r="AI102" s="40">
        <f t="shared" si="62"/>
        <v>7</v>
      </c>
      <c r="AJ102" s="40">
        <f t="shared" si="63"/>
        <v>6</v>
      </c>
      <c r="AK102" s="40">
        <f t="shared" si="64"/>
        <v>2</v>
      </c>
      <c r="AL102" s="40">
        <f t="shared" si="65"/>
        <v>6</v>
      </c>
    </row>
    <row r="103" spans="1:38" x14ac:dyDescent="0.25">
      <c r="A103" s="29">
        <v>122</v>
      </c>
      <c r="B103" s="5" t="s">
        <v>395</v>
      </c>
      <c r="C103" s="5" t="s">
        <v>430</v>
      </c>
      <c r="D103" s="5" t="s">
        <v>18</v>
      </c>
      <c r="E103" s="6">
        <v>1.2</v>
      </c>
      <c r="F103" s="5" t="s">
        <v>26</v>
      </c>
      <c r="G103" s="5">
        <f>VLOOKUP(F103,Lookup!$A$8:$B$12,2,0)</f>
        <v>1</v>
      </c>
      <c r="H103" s="5" t="s">
        <v>431</v>
      </c>
      <c r="I103" s="5">
        <v>1</v>
      </c>
      <c r="J103" s="5">
        <f>VLOOKUP(I103,Lookup!$A$15:$B$18,2,0)</f>
        <v>1</v>
      </c>
      <c r="K103" s="5" t="s">
        <v>37</v>
      </c>
      <c r="L103" s="5">
        <f>VLOOKUP(K103,Lookup!$D$21:$E$24,2,0)</f>
        <v>2</v>
      </c>
      <c r="M103" s="6">
        <f t="shared" si="52"/>
        <v>2.4</v>
      </c>
      <c r="N103" s="5">
        <f>VLOOKUP(K103,Lookup!$A$21:$B$24,2,0)</f>
        <v>5</v>
      </c>
      <c r="O103" s="5" t="s">
        <v>432</v>
      </c>
      <c r="P103" s="5" t="s">
        <v>44</v>
      </c>
      <c r="Q103" s="5">
        <f>VLOOKUP(P103,Lookup!$A$27:$B$31,2,0)</f>
        <v>2</v>
      </c>
      <c r="R103" s="6">
        <f t="shared" si="53"/>
        <v>9</v>
      </c>
      <c r="S103" s="6">
        <f>1481/10</f>
        <v>148.1</v>
      </c>
      <c r="U103" s="6">
        <f t="shared" si="51"/>
        <v>148.1</v>
      </c>
      <c r="V103" s="6">
        <f t="shared" si="54"/>
        <v>74.05</v>
      </c>
      <c r="W103" s="6">
        <v>100</v>
      </c>
      <c r="X103" s="18" t="s">
        <v>427</v>
      </c>
      <c r="Z103" s="33">
        <f t="shared" si="50"/>
        <v>2.4</v>
      </c>
      <c r="AA103" s="33">
        <v>0</v>
      </c>
      <c r="AB103" s="33">
        <f t="shared" si="55"/>
        <v>0.72</v>
      </c>
      <c r="AC103" s="33">
        <f t="shared" si="56"/>
        <v>0</v>
      </c>
      <c r="AD103" s="33">
        <f t="shared" si="57"/>
        <v>0.72</v>
      </c>
      <c r="AE103" s="33">
        <f t="shared" si="58"/>
        <v>0</v>
      </c>
      <c r="AF103" s="33">
        <f t="shared" si="59"/>
        <v>0.26880000000000004</v>
      </c>
      <c r="AG103" s="34">
        <f t="shared" si="60"/>
        <v>1343.3207999999981</v>
      </c>
      <c r="AH103" s="40">
        <f t="shared" si="61"/>
        <v>192.60000000000002</v>
      </c>
      <c r="AI103" s="40">
        <f t="shared" si="62"/>
        <v>8</v>
      </c>
      <c r="AJ103" s="40">
        <f t="shared" si="63"/>
        <v>8</v>
      </c>
      <c r="AK103" s="40">
        <f t="shared" si="64"/>
        <v>4</v>
      </c>
      <c r="AL103" s="40">
        <f t="shared" si="65"/>
        <v>7</v>
      </c>
    </row>
    <row r="104" spans="1:38" x14ac:dyDescent="0.25">
      <c r="A104" s="29">
        <v>131</v>
      </c>
      <c r="B104" s="5" t="s">
        <v>266</v>
      </c>
      <c r="C104" s="5" t="s">
        <v>433</v>
      </c>
      <c r="D104" s="5" t="s">
        <v>18</v>
      </c>
      <c r="E104" s="6">
        <v>0.5</v>
      </c>
      <c r="F104" s="5" t="s">
        <v>20</v>
      </c>
      <c r="G104" s="5">
        <f>VLOOKUP(F104,Lookup!$A$8:$B$12,2,0)</f>
        <v>5</v>
      </c>
      <c r="H104" s="5" t="s">
        <v>434</v>
      </c>
      <c r="I104" s="5">
        <v>1</v>
      </c>
      <c r="J104" s="5">
        <f>VLOOKUP(I104,Lookup!$A$15:$B$18,2,0)</f>
        <v>1</v>
      </c>
      <c r="K104" s="5" t="s">
        <v>37</v>
      </c>
      <c r="L104" s="5">
        <f>VLOOKUP(K104,Lookup!$D$21:$E$24,2,0)</f>
        <v>2</v>
      </c>
      <c r="M104" s="6">
        <f t="shared" si="52"/>
        <v>1</v>
      </c>
      <c r="N104" s="5">
        <f>VLOOKUP(K104,Lookup!$A$21:$B$24,2,0)</f>
        <v>5</v>
      </c>
      <c r="O104" s="5" t="s">
        <v>435</v>
      </c>
      <c r="P104" s="5" t="s">
        <v>45</v>
      </c>
      <c r="Q104" s="5">
        <f>VLOOKUP(P104,Lookup!$A$27:$B$31,2,0)</f>
        <v>1</v>
      </c>
      <c r="R104" s="6">
        <f t="shared" si="53"/>
        <v>12</v>
      </c>
      <c r="S104" s="6">
        <f>672*0.1</f>
        <v>67.2</v>
      </c>
      <c r="U104" s="6">
        <f t="shared" si="51"/>
        <v>67.2</v>
      </c>
      <c r="V104" s="6">
        <f t="shared" si="54"/>
        <v>33.6</v>
      </c>
      <c r="W104" s="6">
        <v>100</v>
      </c>
      <c r="X104" s="18" t="s">
        <v>216</v>
      </c>
      <c r="Z104" s="33">
        <f t="shared" si="50"/>
        <v>1</v>
      </c>
      <c r="AA104" s="33">
        <v>0</v>
      </c>
      <c r="AB104" s="33">
        <f t="shared" si="55"/>
        <v>0.3</v>
      </c>
      <c r="AC104" s="33">
        <f t="shared" si="56"/>
        <v>0</v>
      </c>
      <c r="AD104" s="33">
        <f t="shared" si="57"/>
        <v>0.3</v>
      </c>
      <c r="AE104" s="33">
        <f t="shared" si="58"/>
        <v>0</v>
      </c>
      <c r="AF104" s="33">
        <f t="shared" si="59"/>
        <v>0.11200000000000002</v>
      </c>
      <c r="AG104" s="34">
        <f t="shared" si="60"/>
        <v>1345.0327999999981</v>
      </c>
      <c r="AH104" s="40">
        <f t="shared" si="61"/>
        <v>193.10000000000002</v>
      </c>
      <c r="AI104" s="40">
        <f t="shared" si="62"/>
        <v>7</v>
      </c>
      <c r="AJ104" s="40">
        <f t="shared" si="63"/>
        <v>11</v>
      </c>
      <c r="AK104" s="40">
        <f t="shared" si="64"/>
        <v>7</v>
      </c>
      <c r="AL104" s="40">
        <f t="shared" si="65"/>
        <v>11</v>
      </c>
    </row>
    <row r="105" spans="1:38" x14ac:dyDescent="0.25">
      <c r="A105" s="29">
        <v>136</v>
      </c>
      <c r="B105" s="5" t="s">
        <v>93</v>
      </c>
      <c r="C105" s="5" t="s">
        <v>436</v>
      </c>
      <c r="D105" s="5" t="s">
        <v>18</v>
      </c>
      <c r="E105" s="6">
        <v>1.7</v>
      </c>
      <c r="F105" s="5" t="s">
        <v>24</v>
      </c>
      <c r="G105" s="5">
        <f>VLOOKUP(F105,Lookup!$A$8:$B$12,2,0)</f>
        <v>4</v>
      </c>
      <c r="H105" s="5" t="s">
        <v>95</v>
      </c>
      <c r="I105" s="5">
        <v>1</v>
      </c>
      <c r="J105" s="5">
        <f>VLOOKUP(I105,Lookup!$A$15:$B$18,2,0)</f>
        <v>1</v>
      </c>
      <c r="K105" s="5" t="s">
        <v>37</v>
      </c>
      <c r="L105" s="5">
        <f>VLOOKUP(K105,Lookup!$D$21:$E$24,2,0)</f>
        <v>2</v>
      </c>
      <c r="M105" s="6">
        <f t="shared" si="52"/>
        <v>3.4</v>
      </c>
      <c r="N105" s="5">
        <f>VLOOKUP(K105,Lookup!$A$21:$B$24,2,0)</f>
        <v>5</v>
      </c>
      <c r="O105" s="5" t="s">
        <v>285</v>
      </c>
      <c r="P105" s="5" t="s">
        <v>43</v>
      </c>
      <c r="Q105" s="5">
        <f>VLOOKUP(P105,Lookup!$A$27:$B$31,2,0)</f>
        <v>3</v>
      </c>
      <c r="R105" s="6">
        <f t="shared" si="53"/>
        <v>13</v>
      </c>
      <c r="S105" s="6">
        <f>1158*0.08</f>
        <v>92.64</v>
      </c>
      <c r="U105" s="6">
        <f t="shared" si="51"/>
        <v>92.64</v>
      </c>
      <c r="V105" s="6">
        <f t="shared" si="54"/>
        <v>46.32</v>
      </c>
      <c r="W105" s="6">
        <v>100</v>
      </c>
      <c r="X105" s="18" t="s">
        <v>216</v>
      </c>
      <c r="Y105" s="5" t="s">
        <v>437</v>
      </c>
      <c r="Z105" s="33">
        <f t="shared" si="50"/>
        <v>3.4</v>
      </c>
      <c r="AA105" s="33">
        <v>0</v>
      </c>
      <c r="AB105" s="33">
        <f t="shared" si="55"/>
        <v>1.02</v>
      </c>
      <c r="AC105" s="33">
        <f t="shared" si="56"/>
        <v>0</v>
      </c>
      <c r="AD105" s="33">
        <f t="shared" si="57"/>
        <v>1.02</v>
      </c>
      <c r="AE105" s="33">
        <f t="shared" si="58"/>
        <v>0</v>
      </c>
      <c r="AF105" s="33">
        <f t="shared" si="59"/>
        <v>0.38080000000000003</v>
      </c>
      <c r="AG105" s="34">
        <f t="shared" si="60"/>
        <v>1350.8535999999981</v>
      </c>
      <c r="AH105" s="40">
        <f t="shared" si="61"/>
        <v>194.8</v>
      </c>
      <c r="AI105" s="40">
        <f t="shared" si="62"/>
        <v>9</v>
      </c>
      <c r="AJ105" s="40">
        <f t="shared" si="63"/>
        <v>12</v>
      </c>
      <c r="AK105" s="40">
        <f t="shared" si="64"/>
        <v>8</v>
      </c>
      <c r="AL105" s="40">
        <f t="shared" si="65"/>
        <v>10</v>
      </c>
    </row>
    <row r="106" spans="1:38" x14ac:dyDescent="0.25">
      <c r="A106" s="5">
        <v>138</v>
      </c>
      <c r="B106" s="5" t="s">
        <v>93</v>
      </c>
      <c r="C106" s="5" t="s">
        <v>438</v>
      </c>
      <c r="D106" s="5" t="s">
        <v>17</v>
      </c>
      <c r="E106" s="6">
        <v>1.7</v>
      </c>
      <c r="F106" s="5" t="s">
        <v>26</v>
      </c>
      <c r="G106" s="5">
        <f>VLOOKUP(F106,Lookup!$A$8:$B$12,2,0)</f>
        <v>1</v>
      </c>
      <c r="H106" s="5" t="s">
        <v>439</v>
      </c>
      <c r="I106" s="5">
        <v>2</v>
      </c>
      <c r="J106" s="5">
        <f>VLOOKUP(I106,Lookup!$A$15:$B$18,2,0)</f>
        <v>3</v>
      </c>
      <c r="K106" s="5" t="s">
        <v>37</v>
      </c>
      <c r="L106" s="5">
        <f>VLOOKUP(K106,Lookup!$D$21:$E$24,2,0)</f>
        <v>2</v>
      </c>
      <c r="M106" s="6">
        <f t="shared" si="52"/>
        <v>3.4</v>
      </c>
      <c r="N106" s="5">
        <f>VLOOKUP(K106,Lookup!$A$21:$B$24,2,0)</f>
        <v>5</v>
      </c>
      <c r="O106" s="5" t="s">
        <v>440</v>
      </c>
      <c r="P106" s="5" t="s">
        <v>44</v>
      </c>
      <c r="Q106" s="5">
        <f>VLOOKUP(P106,Lookup!$A$27:$B$31,2,0)</f>
        <v>2</v>
      </c>
      <c r="R106" s="6">
        <f t="shared" si="53"/>
        <v>11</v>
      </c>
      <c r="S106" s="6">
        <f>1158*0.08</f>
        <v>92.64</v>
      </c>
      <c r="T106" s="6">
        <v>29</v>
      </c>
      <c r="U106" s="6">
        <f t="shared" si="51"/>
        <v>121.64</v>
      </c>
      <c r="V106" s="6">
        <f t="shared" si="54"/>
        <v>60.819999999999993</v>
      </c>
      <c r="W106" s="6">
        <v>100</v>
      </c>
      <c r="X106" s="18" t="s">
        <v>441</v>
      </c>
      <c r="Z106" s="33">
        <f t="shared" si="50"/>
        <v>3.4</v>
      </c>
      <c r="AA106" s="33">
        <v>0</v>
      </c>
      <c r="AB106" s="33">
        <f t="shared" si="55"/>
        <v>1.02</v>
      </c>
      <c r="AC106" s="33">
        <f t="shared" si="56"/>
        <v>0</v>
      </c>
      <c r="AD106" s="33">
        <f t="shared" si="57"/>
        <v>1.02</v>
      </c>
      <c r="AE106" s="33">
        <f t="shared" si="58"/>
        <v>0</v>
      </c>
      <c r="AF106" s="33">
        <f t="shared" si="59"/>
        <v>0.38080000000000003</v>
      </c>
      <c r="AG106" s="34">
        <f t="shared" si="60"/>
        <v>1356.6743999999981</v>
      </c>
      <c r="AH106" s="40">
        <f t="shared" si="61"/>
        <v>196.5</v>
      </c>
      <c r="AI106" s="40">
        <f t="shared" si="62"/>
        <v>10</v>
      </c>
      <c r="AJ106" s="40">
        <f t="shared" si="63"/>
        <v>8</v>
      </c>
      <c r="AK106" s="40">
        <f t="shared" si="64"/>
        <v>6</v>
      </c>
      <c r="AL106" s="40">
        <f t="shared" si="65"/>
        <v>9</v>
      </c>
    </row>
    <row r="107" spans="1:38" x14ac:dyDescent="0.25">
      <c r="A107" s="5">
        <v>141</v>
      </c>
      <c r="B107" s="5" t="s">
        <v>336</v>
      </c>
      <c r="C107" s="5" t="s">
        <v>442</v>
      </c>
      <c r="D107" s="5" t="s">
        <v>18</v>
      </c>
      <c r="E107" s="6">
        <v>2.5</v>
      </c>
      <c r="F107" s="5" t="s">
        <v>24</v>
      </c>
      <c r="G107" s="5">
        <f>VLOOKUP(F107,Lookup!$A$8:$B$12,2,0)</f>
        <v>4</v>
      </c>
      <c r="H107" s="5" t="s">
        <v>443</v>
      </c>
      <c r="I107" s="5">
        <v>1</v>
      </c>
      <c r="J107" s="5">
        <f>VLOOKUP(I107,Lookup!$A$15:$B$18,2,0)</f>
        <v>1</v>
      </c>
      <c r="K107" s="5" t="s">
        <v>37</v>
      </c>
      <c r="L107" s="5">
        <f>VLOOKUP(K107,Lookup!$D$21:$E$24,2,0)</f>
        <v>2</v>
      </c>
      <c r="M107" s="6">
        <f t="shared" si="52"/>
        <v>5</v>
      </c>
      <c r="N107" s="5">
        <f>VLOOKUP(K107,Lookup!$A$21:$B$24,2,0)</f>
        <v>5</v>
      </c>
      <c r="O107" s="5" t="s">
        <v>444</v>
      </c>
      <c r="P107" s="5" t="s">
        <v>44</v>
      </c>
      <c r="Q107" s="5">
        <f>VLOOKUP(P107,Lookup!$A$27:$B$31,2,0)</f>
        <v>2</v>
      </c>
      <c r="R107" s="6">
        <f t="shared" si="53"/>
        <v>12</v>
      </c>
      <c r="S107" s="6">
        <f>942*0.1+760*0.1</f>
        <v>170.2</v>
      </c>
      <c r="U107" s="6">
        <f t="shared" si="51"/>
        <v>170.2</v>
      </c>
      <c r="V107" s="6">
        <f t="shared" si="54"/>
        <v>85.1</v>
      </c>
      <c r="W107" s="6">
        <v>100</v>
      </c>
      <c r="X107" s="18" t="s">
        <v>445</v>
      </c>
      <c r="Z107" s="33">
        <f t="shared" si="50"/>
        <v>5</v>
      </c>
      <c r="AA107" s="33">
        <v>0</v>
      </c>
      <c r="AB107" s="33">
        <f t="shared" si="55"/>
        <v>1.5</v>
      </c>
      <c r="AC107" s="33">
        <f t="shared" si="56"/>
        <v>0</v>
      </c>
      <c r="AD107" s="33">
        <f t="shared" si="57"/>
        <v>1.5</v>
      </c>
      <c r="AE107" s="33">
        <f t="shared" si="58"/>
        <v>0</v>
      </c>
      <c r="AF107" s="33">
        <f t="shared" si="59"/>
        <v>0.56000000000000005</v>
      </c>
      <c r="AG107" s="34">
        <f t="shared" si="60"/>
        <v>1365.234399999998</v>
      </c>
      <c r="AH107" s="40">
        <f t="shared" si="61"/>
        <v>199</v>
      </c>
      <c r="AI107" s="40">
        <f t="shared" si="62"/>
        <v>8</v>
      </c>
      <c r="AJ107" s="40">
        <f t="shared" si="63"/>
        <v>11</v>
      </c>
      <c r="AK107" s="40">
        <f t="shared" si="64"/>
        <v>7</v>
      </c>
      <c r="AL107" s="40">
        <f t="shared" si="65"/>
        <v>10</v>
      </c>
    </row>
    <row r="108" spans="1:38" x14ac:dyDescent="0.25">
      <c r="A108" s="29">
        <v>142</v>
      </c>
      <c r="B108" s="5" t="s">
        <v>336</v>
      </c>
      <c r="C108" s="5" t="s">
        <v>446</v>
      </c>
      <c r="D108" s="5" t="s">
        <v>18</v>
      </c>
      <c r="E108" s="6">
        <v>1.1000000000000001</v>
      </c>
      <c r="F108" s="5" t="s">
        <v>24</v>
      </c>
      <c r="G108" s="5">
        <f>VLOOKUP(F108,Lookup!$A$8:$B$12,2,0)</f>
        <v>4</v>
      </c>
      <c r="H108" s="5" t="s">
        <v>447</v>
      </c>
      <c r="I108" s="5">
        <v>2</v>
      </c>
      <c r="J108" s="5">
        <f>VLOOKUP(I108,Lookup!$A$15:$B$18,2,0)</f>
        <v>3</v>
      </c>
      <c r="K108" s="5" t="s">
        <v>37</v>
      </c>
      <c r="L108" s="5">
        <f>VLOOKUP(K108,Lookup!$D$21:$E$24,2,0)</f>
        <v>2</v>
      </c>
      <c r="M108" s="6">
        <f t="shared" si="52"/>
        <v>2.2000000000000002</v>
      </c>
      <c r="N108" s="5">
        <f>VLOOKUP(K108,Lookup!$A$21:$B$24,2,0)</f>
        <v>5</v>
      </c>
      <c r="O108" s="5" t="s">
        <v>289</v>
      </c>
      <c r="P108" s="5" t="s">
        <v>44</v>
      </c>
      <c r="Q108" s="5">
        <f>VLOOKUP(P108,Lookup!$A$27:$B$31,2,0)</f>
        <v>2</v>
      </c>
      <c r="R108" s="6">
        <f t="shared" si="53"/>
        <v>14</v>
      </c>
      <c r="S108" s="6">
        <f>942*0.1+760*0.1</f>
        <v>170.2</v>
      </c>
      <c r="U108" s="6">
        <f t="shared" si="51"/>
        <v>170.2</v>
      </c>
      <c r="V108" s="6">
        <f t="shared" si="54"/>
        <v>85.1</v>
      </c>
      <c r="W108" s="6">
        <v>100</v>
      </c>
      <c r="X108" s="18" t="s">
        <v>445</v>
      </c>
      <c r="Z108" s="33">
        <f t="shared" si="50"/>
        <v>2.2000000000000002</v>
      </c>
      <c r="AA108" s="33">
        <v>0</v>
      </c>
      <c r="AB108" s="33">
        <f t="shared" si="55"/>
        <v>0.66</v>
      </c>
      <c r="AC108" s="33">
        <f t="shared" si="56"/>
        <v>0</v>
      </c>
      <c r="AD108" s="33">
        <f t="shared" si="57"/>
        <v>0.66</v>
      </c>
      <c r="AE108" s="33">
        <f t="shared" si="58"/>
        <v>0</v>
      </c>
      <c r="AF108" s="33">
        <f t="shared" si="59"/>
        <v>0.24640000000000006</v>
      </c>
      <c r="AG108" s="34">
        <f t="shared" si="60"/>
        <v>1369.000799999998</v>
      </c>
      <c r="AH108" s="40">
        <f t="shared" si="61"/>
        <v>200.1</v>
      </c>
      <c r="AI108" s="40">
        <f t="shared" si="62"/>
        <v>10</v>
      </c>
      <c r="AJ108" s="40">
        <f t="shared" si="63"/>
        <v>11</v>
      </c>
      <c r="AK108" s="40">
        <f t="shared" si="64"/>
        <v>9</v>
      </c>
      <c r="AL108" s="40">
        <f t="shared" si="65"/>
        <v>12</v>
      </c>
    </row>
    <row r="109" spans="1:38" x14ac:dyDescent="0.25">
      <c r="A109" s="29">
        <v>143</v>
      </c>
      <c r="B109" s="5" t="s">
        <v>336</v>
      </c>
      <c r="C109" s="5" t="s">
        <v>448</v>
      </c>
      <c r="D109" s="5" t="s">
        <v>18</v>
      </c>
      <c r="E109" s="6">
        <v>1.8</v>
      </c>
      <c r="F109" s="5" t="s">
        <v>28</v>
      </c>
      <c r="G109" s="5">
        <f>VLOOKUP(F109,Lookup!$A$8:$B$12,2,0)</f>
        <v>0</v>
      </c>
      <c r="I109" s="5">
        <v>2</v>
      </c>
      <c r="J109" s="5">
        <f>VLOOKUP(I109,Lookup!$A$15:$B$18,2,0)</f>
        <v>3</v>
      </c>
      <c r="K109" s="5" t="s">
        <v>37</v>
      </c>
      <c r="L109" s="5">
        <f>VLOOKUP(K109,Lookup!$D$21:$E$24,2,0)</f>
        <v>2</v>
      </c>
      <c r="M109" s="6">
        <f t="shared" si="52"/>
        <v>3.6</v>
      </c>
      <c r="N109" s="5">
        <f>VLOOKUP(K109,Lookup!$A$21:$B$24,2,0)</f>
        <v>5</v>
      </c>
      <c r="O109" s="5" t="s">
        <v>449</v>
      </c>
      <c r="P109" s="5" t="s">
        <v>43</v>
      </c>
      <c r="Q109" s="5">
        <f>VLOOKUP(P109,Lookup!$A$27:$B$31,2,0)</f>
        <v>3</v>
      </c>
      <c r="R109" s="6">
        <f t="shared" si="53"/>
        <v>11</v>
      </c>
      <c r="S109" s="6">
        <f>942*0.1+760*0.1</f>
        <v>170.2</v>
      </c>
      <c r="U109" s="6">
        <f t="shared" si="51"/>
        <v>170.2</v>
      </c>
      <c r="V109" s="6">
        <f t="shared" si="54"/>
        <v>85.100000000000009</v>
      </c>
      <c r="W109" s="6">
        <v>100</v>
      </c>
      <c r="X109" s="18" t="s">
        <v>445</v>
      </c>
      <c r="Z109" s="33">
        <f t="shared" si="50"/>
        <v>3.6</v>
      </c>
      <c r="AA109" s="33">
        <v>0</v>
      </c>
      <c r="AB109" s="33">
        <f t="shared" si="55"/>
        <v>1.08</v>
      </c>
      <c r="AC109" s="33">
        <f t="shared" si="56"/>
        <v>0</v>
      </c>
      <c r="AD109" s="33">
        <f t="shared" si="57"/>
        <v>1.08</v>
      </c>
      <c r="AE109" s="33">
        <f t="shared" si="58"/>
        <v>0</v>
      </c>
      <c r="AF109" s="33">
        <f t="shared" si="59"/>
        <v>0.4032</v>
      </c>
      <c r="AG109" s="34">
        <f t="shared" si="60"/>
        <v>1375.1639999999979</v>
      </c>
      <c r="AH109" s="40">
        <f t="shared" si="61"/>
        <v>201.9</v>
      </c>
      <c r="AI109" s="40">
        <f t="shared" si="62"/>
        <v>11</v>
      </c>
      <c r="AJ109" s="40">
        <f t="shared" si="63"/>
        <v>8</v>
      </c>
      <c r="AK109" s="40">
        <f t="shared" si="64"/>
        <v>6</v>
      </c>
      <c r="AL109" s="40">
        <f t="shared" si="65"/>
        <v>8</v>
      </c>
    </row>
    <row r="110" spans="1:38" x14ac:dyDescent="0.25">
      <c r="A110" s="29">
        <v>146</v>
      </c>
      <c r="B110" s="5" t="s">
        <v>336</v>
      </c>
      <c r="C110" s="5" t="s">
        <v>450</v>
      </c>
      <c r="D110" s="5" t="s">
        <v>17</v>
      </c>
      <c r="E110" s="6">
        <v>1.2</v>
      </c>
      <c r="F110" s="5" t="s">
        <v>24</v>
      </c>
      <c r="G110" s="5">
        <f>VLOOKUP(F110,Lookup!$A$8:$B$12,2,0)</f>
        <v>4</v>
      </c>
      <c r="H110" s="5" t="s">
        <v>451</v>
      </c>
      <c r="I110" s="5">
        <v>2</v>
      </c>
      <c r="J110" s="5">
        <f>VLOOKUP(I110,Lookup!$A$15:$B$18,2,0)</f>
        <v>3</v>
      </c>
      <c r="K110" s="5" t="s">
        <v>37</v>
      </c>
      <c r="L110" s="5">
        <f>VLOOKUP(K110,Lookup!$D$21:$E$24,2,0)</f>
        <v>2</v>
      </c>
      <c r="M110" s="6">
        <f t="shared" si="52"/>
        <v>2.4</v>
      </c>
      <c r="N110" s="5">
        <f>VLOOKUP(K110,Lookup!$A$21:$B$24,2,0)</f>
        <v>5</v>
      </c>
      <c r="O110" s="5" t="s">
        <v>338</v>
      </c>
      <c r="P110" s="5" t="s">
        <v>44</v>
      </c>
      <c r="Q110" s="5">
        <f>VLOOKUP(P110,Lookup!$A$27:$B$31,2,0)</f>
        <v>2</v>
      </c>
      <c r="R110" s="6">
        <f t="shared" si="53"/>
        <v>14</v>
      </c>
      <c r="S110" s="6">
        <f>942*0.1+760*0.1</f>
        <v>170.2</v>
      </c>
      <c r="T110" s="6">
        <v>32</v>
      </c>
      <c r="U110" s="6">
        <f t="shared" si="51"/>
        <v>202.2</v>
      </c>
      <c r="V110" s="6">
        <f t="shared" si="54"/>
        <v>101.1</v>
      </c>
      <c r="W110" s="6">
        <v>100</v>
      </c>
      <c r="X110" s="18" t="s">
        <v>445</v>
      </c>
      <c r="Z110" s="33">
        <f t="shared" si="50"/>
        <v>2.4</v>
      </c>
      <c r="AA110" s="33">
        <v>0</v>
      </c>
      <c r="AB110" s="33">
        <f t="shared" si="55"/>
        <v>0.72</v>
      </c>
      <c r="AC110" s="33">
        <f t="shared" si="56"/>
        <v>0</v>
      </c>
      <c r="AD110" s="33">
        <f t="shared" si="57"/>
        <v>0.72</v>
      </c>
      <c r="AE110" s="33">
        <f t="shared" si="58"/>
        <v>0</v>
      </c>
      <c r="AF110" s="33">
        <f t="shared" si="59"/>
        <v>0.26880000000000004</v>
      </c>
      <c r="AG110" s="34">
        <f t="shared" si="60"/>
        <v>1379.2727999999979</v>
      </c>
      <c r="AH110" s="40">
        <f t="shared" si="61"/>
        <v>203.1</v>
      </c>
      <c r="AI110" s="40">
        <f t="shared" si="62"/>
        <v>10</v>
      </c>
      <c r="AJ110" s="40">
        <f t="shared" si="63"/>
        <v>11</v>
      </c>
      <c r="AK110" s="40">
        <f t="shared" si="64"/>
        <v>9</v>
      </c>
      <c r="AL110" s="40">
        <f t="shared" si="65"/>
        <v>12</v>
      </c>
    </row>
    <row r="111" spans="1:38" x14ac:dyDescent="0.25">
      <c r="A111" s="29">
        <v>149</v>
      </c>
      <c r="B111" s="5" t="s">
        <v>101</v>
      </c>
      <c r="C111" s="5" t="s">
        <v>452</v>
      </c>
      <c r="D111" s="5" t="s">
        <v>15</v>
      </c>
      <c r="E111" s="6">
        <v>3</v>
      </c>
      <c r="F111" s="5" t="s">
        <v>24</v>
      </c>
      <c r="G111" s="5">
        <f>VLOOKUP(F111,Lookup!$A$8:$B$12,2,0)</f>
        <v>4</v>
      </c>
      <c r="H111" s="5" t="s">
        <v>453</v>
      </c>
      <c r="I111" s="5">
        <v>2</v>
      </c>
      <c r="J111" s="5">
        <f>VLOOKUP(I111,Lookup!$A$15:$B$18,2,0)</f>
        <v>3</v>
      </c>
      <c r="K111" s="5" t="s">
        <v>32</v>
      </c>
      <c r="L111" s="5">
        <f>VLOOKUP(K111,Lookup!$D$21:$E$24,2,0)</f>
        <v>20</v>
      </c>
      <c r="M111" s="6">
        <f t="shared" si="52"/>
        <v>60</v>
      </c>
      <c r="N111" s="5">
        <f>VLOOKUP(K111,Lookup!$A$21:$B$24,2,0)</f>
        <v>1</v>
      </c>
      <c r="O111" s="5" t="s">
        <v>454</v>
      </c>
      <c r="P111" s="5" t="s">
        <v>40</v>
      </c>
      <c r="Q111" s="5">
        <f>VLOOKUP(P111,Lookup!$A$27:$B$31,2,0)</f>
        <v>5</v>
      </c>
      <c r="R111" s="6">
        <f t="shared" si="53"/>
        <v>13</v>
      </c>
      <c r="S111" s="6">
        <f>346*0.1</f>
        <v>34.6</v>
      </c>
      <c r="T111" s="6">
        <v>328</v>
      </c>
      <c r="U111" s="6">
        <f t="shared" si="51"/>
        <v>362.6</v>
      </c>
      <c r="V111" s="6">
        <f t="shared" si="54"/>
        <v>18.130000000000003</v>
      </c>
      <c r="W111" s="6">
        <v>100</v>
      </c>
      <c r="X111" s="18" t="s">
        <v>216</v>
      </c>
      <c r="Y111" s="5" t="s">
        <v>455</v>
      </c>
      <c r="Z111" s="33">
        <f t="shared" si="50"/>
        <v>60</v>
      </c>
      <c r="AA111" s="33">
        <v>0</v>
      </c>
      <c r="AB111" s="33">
        <f t="shared" si="55"/>
        <v>18</v>
      </c>
      <c r="AC111" s="33">
        <f t="shared" si="56"/>
        <v>0</v>
      </c>
      <c r="AD111" s="33">
        <f t="shared" si="57"/>
        <v>18</v>
      </c>
      <c r="AE111" s="33">
        <f t="shared" si="58"/>
        <v>0</v>
      </c>
      <c r="AF111" s="33">
        <f t="shared" si="59"/>
        <v>6.7200000000000006</v>
      </c>
      <c r="AG111" s="34">
        <f t="shared" si="60"/>
        <v>1481.9927999999979</v>
      </c>
      <c r="AH111" s="40">
        <f t="shared" si="61"/>
        <v>206.1</v>
      </c>
      <c r="AI111" s="40">
        <f t="shared" si="62"/>
        <v>9</v>
      </c>
      <c r="AJ111" s="40">
        <f t="shared" si="63"/>
        <v>10</v>
      </c>
      <c r="AK111" s="40">
        <f t="shared" si="64"/>
        <v>12</v>
      </c>
      <c r="AL111" s="40">
        <f t="shared" si="65"/>
        <v>8</v>
      </c>
    </row>
    <row r="112" spans="1:38" x14ac:dyDescent="0.25">
      <c r="A112" s="5">
        <v>150</v>
      </c>
      <c r="B112" s="5" t="s">
        <v>101</v>
      </c>
      <c r="C112" s="5" t="s">
        <v>456</v>
      </c>
      <c r="D112" s="5" t="s">
        <v>15</v>
      </c>
      <c r="E112" s="6">
        <v>1.5</v>
      </c>
      <c r="F112" s="5" t="s">
        <v>24</v>
      </c>
      <c r="G112" s="5">
        <f>VLOOKUP(F112,Lookup!$A$8:$B$12,2,0)</f>
        <v>4</v>
      </c>
      <c r="H112" s="5" t="s">
        <v>457</v>
      </c>
      <c r="I112" s="5">
        <v>3</v>
      </c>
      <c r="J112" s="5">
        <f>VLOOKUP(I112,Lookup!$A$15:$B$18,2,0)</f>
        <v>5</v>
      </c>
      <c r="K112" s="5" t="s">
        <v>33</v>
      </c>
      <c r="L112" s="5">
        <f>VLOOKUP(K112,Lookup!$D$21:$E$24,2,0)</f>
        <v>10</v>
      </c>
      <c r="M112" s="6">
        <f t="shared" si="52"/>
        <v>15</v>
      </c>
      <c r="N112" s="5">
        <f>VLOOKUP(K112,Lookup!$A$21:$B$24,2,0)</f>
        <v>2</v>
      </c>
      <c r="O112" s="5" t="s">
        <v>458</v>
      </c>
      <c r="P112" s="5" t="s">
        <v>43</v>
      </c>
      <c r="Q112" s="5">
        <f>VLOOKUP(P112,Lookup!$A$27:$B$31,2,0)</f>
        <v>3</v>
      </c>
      <c r="R112" s="6">
        <f t="shared" si="53"/>
        <v>14</v>
      </c>
      <c r="S112" s="6">
        <f>346*0.1</f>
        <v>34.6</v>
      </c>
      <c r="T112" s="6">
        <v>326</v>
      </c>
      <c r="U112" s="6">
        <f t="shared" si="51"/>
        <v>360.6</v>
      </c>
      <c r="V112" s="6">
        <f t="shared" si="54"/>
        <v>36.060000000000009</v>
      </c>
      <c r="W112" s="6">
        <v>100</v>
      </c>
      <c r="X112" s="18" t="s">
        <v>216</v>
      </c>
      <c r="Y112" s="5" t="s">
        <v>113</v>
      </c>
      <c r="Z112" s="33">
        <f t="shared" si="50"/>
        <v>15</v>
      </c>
      <c r="AA112" s="33">
        <v>0</v>
      </c>
      <c r="AB112" s="33">
        <f t="shared" si="55"/>
        <v>4.5</v>
      </c>
      <c r="AC112" s="33">
        <f t="shared" si="56"/>
        <v>0</v>
      </c>
      <c r="AD112" s="33">
        <f t="shared" si="57"/>
        <v>4.5</v>
      </c>
      <c r="AE112" s="33">
        <f t="shared" si="58"/>
        <v>0</v>
      </c>
      <c r="AF112" s="33">
        <f t="shared" si="59"/>
        <v>1.6800000000000002</v>
      </c>
      <c r="AG112" s="34">
        <f t="shared" si="60"/>
        <v>1507.672799999998</v>
      </c>
      <c r="AH112" s="40">
        <f t="shared" si="61"/>
        <v>207.6</v>
      </c>
      <c r="AI112" s="40">
        <f t="shared" si="62"/>
        <v>10</v>
      </c>
      <c r="AJ112" s="40">
        <f t="shared" si="63"/>
        <v>9</v>
      </c>
      <c r="AK112" s="40">
        <f t="shared" si="64"/>
        <v>12</v>
      </c>
      <c r="AL112" s="40">
        <f t="shared" si="65"/>
        <v>11</v>
      </c>
    </row>
    <row r="113" spans="1:38" x14ac:dyDescent="0.25">
      <c r="A113" s="29">
        <v>151</v>
      </c>
      <c r="B113" s="5" t="s">
        <v>101</v>
      </c>
      <c r="C113" s="5" t="s">
        <v>459</v>
      </c>
      <c r="D113" s="5" t="s">
        <v>17</v>
      </c>
      <c r="E113" s="6">
        <v>1.5</v>
      </c>
      <c r="F113" s="5" t="s">
        <v>28</v>
      </c>
      <c r="G113" s="5">
        <f>VLOOKUP(F113,Lookup!$A$8:$B$12,2,0)</f>
        <v>0</v>
      </c>
      <c r="I113" s="5">
        <v>2</v>
      </c>
      <c r="J113" s="5">
        <f>VLOOKUP(I113,Lookup!$A$15:$B$18,2,0)</f>
        <v>3</v>
      </c>
      <c r="K113" s="5" t="s">
        <v>37</v>
      </c>
      <c r="L113" s="5">
        <f>VLOOKUP(K113,Lookup!$D$21:$E$24,2,0)</f>
        <v>2</v>
      </c>
      <c r="M113" s="6">
        <f t="shared" si="52"/>
        <v>3</v>
      </c>
      <c r="N113" s="5">
        <f>VLOOKUP(K113,Lookup!$A$21:$B$24,2,0)</f>
        <v>5</v>
      </c>
      <c r="O113" s="5" t="s">
        <v>460</v>
      </c>
      <c r="P113" s="5" t="s">
        <v>44</v>
      </c>
      <c r="Q113" s="5">
        <f>VLOOKUP(P113,Lookup!$A$27:$B$31,2,0)</f>
        <v>2</v>
      </c>
      <c r="R113" s="6">
        <f t="shared" si="53"/>
        <v>10</v>
      </c>
      <c r="S113" s="6">
        <f>346*0.1</f>
        <v>34.6</v>
      </c>
      <c r="T113" s="6">
        <v>238</v>
      </c>
      <c r="U113" s="6">
        <f t="shared" si="51"/>
        <v>272.60000000000002</v>
      </c>
      <c r="V113" s="6">
        <f t="shared" si="54"/>
        <v>136.30000000000001</v>
      </c>
      <c r="W113" s="6">
        <v>100</v>
      </c>
      <c r="X113" s="18" t="s">
        <v>461</v>
      </c>
      <c r="Z113" s="33">
        <f t="shared" ref="Z113:Z144" si="66">M113</f>
        <v>3</v>
      </c>
      <c r="AA113" s="33">
        <v>0</v>
      </c>
      <c r="AB113" s="33">
        <f t="shared" si="55"/>
        <v>0.89999999999999991</v>
      </c>
      <c r="AC113" s="33">
        <f t="shared" si="56"/>
        <v>0</v>
      </c>
      <c r="AD113" s="33">
        <f t="shared" si="57"/>
        <v>0.89999999999999991</v>
      </c>
      <c r="AE113" s="33">
        <f t="shared" si="58"/>
        <v>0</v>
      </c>
      <c r="AF113" s="33">
        <f t="shared" si="59"/>
        <v>0.33600000000000002</v>
      </c>
      <c r="AG113" s="34">
        <f t="shared" si="60"/>
        <v>1512.808799999998</v>
      </c>
      <c r="AH113" s="40">
        <f t="shared" si="61"/>
        <v>209.1</v>
      </c>
      <c r="AI113" s="40">
        <f t="shared" si="62"/>
        <v>10</v>
      </c>
      <c r="AJ113" s="40">
        <f t="shared" si="63"/>
        <v>7</v>
      </c>
      <c r="AK113" s="40">
        <f t="shared" si="64"/>
        <v>5</v>
      </c>
      <c r="AL113" s="40">
        <f t="shared" si="65"/>
        <v>8</v>
      </c>
    </row>
    <row r="114" spans="1:38" x14ac:dyDescent="0.25">
      <c r="A114" s="29">
        <v>152</v>
      </c>
      <c r="B114" s="5" t="s">
        <v>101</v>
      </c>
      <c r="C114" s="5" t="s">
        <v>462</v>
      </c>
      <c r="D114" s="5" t="s">
        <v>15</v>
      </c>
      <c r="E114" s="6">
        <v>0.8</v>
      </c>
      <c r="F114" s="5" t="s">
        <v>24</v>
      </c>
      <c r="G114" s="5">
        <f>VLOOKUP(F114,Lookup!$A$8:$B$12,2,0)</f>
        <v>4</v>
      </c>
      <c r="H114" s="5" t="s">
        <v>277</v>
      </c>
      <c r="I114" s="5">
        <v>3</v>
      </c>
      <c r="J114" s="5">
        <f>VLOOKUP(I114,Lookup!$A$15:$B$18,2,0)</f>
        <v>5</v>
      </c>
      <c r="K114" s="5" t="s">
        <v>35</v>
      </c>
      <c r="L114" s="5">
        <f>VLOOKUP(K114,Lookup!$D$21:$E$24,2,0)</f>
        <v>5</v>
      </c>
      <c r="M114" s="6">
        <f t="shared" si="52"/>
        <v>4</v>
      </c>
      <c r="N114" s="5">
        <f>VLOOKUP(K114,Lookup!$A$21:$B$24,2,0)</f>
        <v>3</v>
      </c>
      <c r="O114" s="5" t="s">
        <v>463</v>
      </c>
      <c r="P114" s="5" t="s">
        <v>43</v>
      </c>
      <c r="Q114" s="5">
        <f>VLOOKUP(P114,Lookup!$A$27:$B$31,2,0)</f>
        <v>3</v>
      </c>
      <c r="R114" s="6">
        <f t="shared" si="53"/>
        <v>15</v>
      </c>
      <c r="S114" s="6">
        <f>346*0.1</f>
        <v>34.6</v>
      </c>
      <c r="T114" s="6">
        <v>406</v>
      </c>
      <c r="U114" s="6">
        <f t="shared" si="51"/>
        <v>440.6</v>
      </c>
      <c r="V114" s="6">
        <f t="shared" si="54"/>
        <v>88.12</v>
      </c>
      <c r="W114" s="6">
        <v>100</v>
      </c>
      <c r="X114" s="18" t="s">
        <v>162</v>
      </c>
      <c r="Y114" s="5" t="s">
        <v>113</v>
      </c>
      <c r="Z114" s="33">
        <f t="shared" si="66"/>
        <v>4</v>
      </c>
      <c r="AA114" s="33">
        <v>0</v>
      </c>
      <c r="AB114" s="33">
        <f t="shared" si="55"/>
        <v>1.2</v>
      </c>
      <c r="AC114" s="33">
        <f t="shared" si="56"/>
        <v>0</v>
      </c>
      <c r="AD114" s="33">
        <f t="shared" si="57"/>
        <v>1.2</v>
      </c>
      <c r="AE114" s="33">
        <f t="shared" si="58"/>
        <v>0</v>
      </c>
      <c r="AF114" s="33">
        <f t="shared" si="59"/>
        <v>0.44800000000000006</v>
      </c>
      <c r="AG114" s="34">
        <f t="shared" si="60"/>
        <v>1519.6567999999979</v>
      </c>
      <c r="AH114" s="40">
        <f t="shared" si="61"/>
        <v>209.9</v>
      </c>
      <c r="AI114" s="40">
        <f t="shared" si="62"/>
        <v>11</v>
      </c>
      <c r="AJ114" s="40">
        <f t="shared" si="63"/>
        <v>10</v>
      </c>
      <c r="AK114" s="40">
        <f t="shared" si="64"/>
        <v>12</v>
      </c>
      <c r="AL114" s="40">
        <f t="shared" si="65"/>
        <v>12</v>
      </c>
    </row>
    <row r="115" spans="1:38" x14ac:dyDescent="0.25">
      <c r="A115" s="29">
        <v>160</v>
      </c>
      <c r="B115" s="5" t="s">
        <v>118</v>
      </c>
      <c r="C115" s="5" t="s">
        <v>464</v>
      </c>
      <c r="D115" s="5" t="s">
        <v>17</v>
      </c>
      <c r="E115" s="6">
        <v>1.4</v>
      </c>
      <c r="F115" s="5" t="s">
        <v>24</v>
      </c>
      <c r="G115" s="5">
        <f>VLOOKUP(F115,Lookup!$A$8:$B$12,2,0)</f>
        <v>4</v>
      </c>
      <c r="H115" s="5" t="s">
        <v>465</v>
      </c>
      <c r="I115" s="5">
        <v>1</v>
      </c>
      <c r="J115" s="5">
        <f>VLOOKUP(I115,Lookup!$A$15:$B$18,2,0)</f>
        <v>1</v>
      </c>
      <c r="K115" s="5" t="s">
        <v>37</v>
      </c>
      <c r="L115" s="5">
        <f>VLOOKUP(K115,Lookup!$D$21:$E$24,2,0)</f>
        <v>2</v>
      </c>
      <c r="M115" s="6">
        <f t="shared" si="52"/>
        <v>2.8</v>
      </c>
      <c r="N115" s="5">
        <f>VLOOKUP(K115,Lookup!$A$21:$B$24,2,0)</f>
        <v>5</v>
      </c>
      <c r="O115" s="5" t="s">
        <v>466</v>
      </c>
      <c r="P115" s="5" t="s">
        <v>43</v>
      </c>
      <c r="Q115" s="5">
        <f>VLOOKUP(P115,Lookup!$A$27:$B$31,2,0)</f>
        <v>3</v>
      </c>
      <c r="R115" s="6">
        <f t="shared" si="53"/>
        <v>13</v>
      </c>
      <c r="S115" s="6">
        <f>1262*0.1+394*0.1</f>
        <v>165.60000000000002</v>
      </c>
      <c r="T115" s="6">
        <v>80</v>
      </c>
      <c r="U115" s="6">
        <f t="shared" si="51"/>
        <v>245.60000000000002</v>
      </c>
      <c r="V115" s="6">
        <f t="shared" si="54"/>
        <v>122.80000000000003</v>
      </c>
      <c r="W115" s="6">
        <v>100</v>
      </c>
      <c r="X115" s="18" t="s">
        <v>216</v>
      </c>
      <c r="Z115" s="33">
        <f t="shared" si="66"/>
        <v>2.8</v>
      </c>
      <c r="AA115" s="33">
        <v>0</v>
      </c>
      <c r="AB115" s="33">
        <f t="shared" si="55"/>
        <v>0.84</v>
      </c>
      <c r="AC115" s="33">
        <f t="shared" si="56"/>
        <v>0</v>
      </c>
      <c r="AD115" s="33">
        <f t="shared" si="57"/>
        <v>0.84</v>
      </c>
      <c r="AE115" s="33">
        <f t="shared" si="58"/>
        <v>0</v>
      </c>
      <c r="AF115" s="33">
        <f t="shared" si="59"/>
        <v>0.31359999999999999</v>
      </c>
      <c r="AG115" s="34">
        <f t="shared" si="60"/>
        <v>1524.4503999999979</v>
      </c>
      <c r="AH115" s="40">
        <f t="shared" si="61"/>
        <v>211.3</v>
      </c>
      <c r="AI115" s="40">
        <f t="shared" si="62"/>
        <v>9</v>
      </c>
      <c r="AJ115" s="40">
        <f t="shared" si="63"/>
        <v>12</v>
      </c>
      <c r="AK115" s="40">
        <f t="shared" si="64"/>
        <v>8</v>
      </c>
      <c r="AL115" s="40">
        <f t="shared" si="65"/>
        <v>10</v>
      </c>
    </row>
    <row r="116" spans="1:38" x14ac:dyDescent="0.25">
      <c r="A116" s="29">
        <v>169</v>
      </c>
      <c r="B116" s="5" t="s">
        <v>300</v>
      </c>
      <c r="C116" s="5" t="s">
        <v>467</v>
      </c>
      <c r="D116" s="5" t="s">
        <v>17</v>
      </c>
      <c r="E116" s="6">
        <v>2.5</v>
      </c>
      <c r="F116" s="5" t="s">
        <v>28</v>
      </c>
      <c r="G116" s="5">
        <f>VLOOKUP(F116,Lookup!$A$8:$B$12,2,0)</f>
        <v>0</v>
      </c>
      <c r="I116" s="5">
        <v>2</v>
      </c>
      <c r="J116" s="5">
        <f>VLOOKUP(I116,Lookup!$A$15:$B$18,2,0)</f>
        <v>3</v>
      </c>
      <c r="K116" s="5" t="s">
        <v>37</v>
      </c>
      <c r="L116" s="5">
        <f>VLOOKUP(K116,Lookup!$D$21:$E$24,2,0)</f>
        <v>2</v>
      </c>
      <c r="M116" s="6">
        <f t="shared" si="52"/>
        <v>5</v>
      </c>
      <c r="N116" s="5">
        <f>VLOOKUP(K116,Lookup!$A$21:$B$24,2,0)</f>
        <v>5</v>
      </c>
      <c r="O116" s="5" t="s">
        <v>403</v>
      </c>
      <c r="P116" s="5" t="s">
        <v>45</v>
      </c>
      <c r="Q116" s="5">
        <f>VLOOKUP(P116,Lookup!$A$27:$B$31,2,0)</f>
        <v>1</v>
      </c>
      <c r="R116" s="6">
        <f t="shared" si="53"/>
        <v>9</v>
      </c>
      <c r="S116" s="6">
        <f>559*0.05+608*0.05</f>
        <v>58.350000000000009</v>
      </c>
      <c r="T116" s="6">
        <v>133</v>
      </c>
      <c r="U116" s="6">
        <f t="shared" si="51"/>
        <v>191.35000000000002</v>
      </c>
      <c r="V116" s="6">
        <f t="shared" si="54"/>
        <v>95.675000000000011</v>
      </c>
      <c r="W116" s="6">
        <v>100</v>
      </c>
      <c r="X116" s="18" t="s">
        <v>461</v>
      </c>
      <c r="Z116" s="33">
        <f t="shared" si="66"/>
        <v>5</v>
      </c>
      <c r="AA116" s="33">
        <v>0</v>
      </c>
      <c r="AB116" s="33">
        <f t="shared" si="55"/>
        <v>1.5</v>
      </c>
      <c r="AC116" s="33">
        <f t="shared" si="56"/>
        <v>0</v>
      </c>
      <c r="AD116" s="33">
        <f t="shared" si="57"/>
        <v>1.5</v>
      </c>
      <c r="AE116" s="33">
        <f t="shared" si="58"/>
        <v>0</v>
      </c>
      <c r="AF116" s="33">
        <f t="shared" si="59"/>
        <v>0.56000000000000005</v>
      </c>
      <c r="AG116" s="34">
        <f t="shared" si="60"/>
        <v>1533.0103999999978</v>
      </c>
      <c r="AH116" s="40">
        <f t="shared" si="61"/>
        <v>213.8</v>
      </c>
      <c r="AI116" s="40">
        <f t="shared" si="62"/>
        <v>9</v>
      </c>
      <c r="AJ116" s="40">
        <f t="shared" si="63"/>
        <v>6</v>
      </c>
      <c r="AK116" s="40">
        <f t="shared" si="64"/>
        <v>4</v>
      </c>
      <c r="AL116" s="40">
        <f t="shared" si="65"/>
        <v>8</v>
      </c>
    </row>
    <row r="117" spans="1:38" x14ac:dyDescent="0.25">
      <c r="A117" s="29">
        <v>170</v>
      </c>
      <c r="B117" s="5" t="s">
        <v>300</v>
      </c>
      <c r="C117" s="5" t="s">
        <v>468</v>
      </c>
      <c r="D117" s="5" t="s">
        <v>17</v>
      </c>
      <c r="E117" s="6">
        <v>3.1</v>
      </c>
      <c r="F117" s="5" t="s">
        <v>26</v>
      </c>
      <c r="G117" s="5">
        <f>VLOOKUP(F117,Lookup!$A$8:$B$12,2,0)</f>
        <v>1</v>
      </c>
      <c r="H117" s="5" t="s">
        <v>305</v>
      </c>
      <c r="I117" s="5">
        <v>2</v>
      </c>
      <c r="J117" s="5">
        <f>VLOOKUP(I117,Lookup!$A$15:$B$18,2,0)</f>
        <v>3</v>
      </c>
      <c r="K117" s="5" t="s">
        <v>37</v>
      </c>
      <c r="L117" s="5">
        <f>VLOOKUP(K117,Lookup!$D$21:$E$24,2,0)</f>
        <v>2</v>
      </c>
      <c r="M117" s="6">
        <f t="shared" si="52"/>
        <v>6.2</v>
      </c>
      <c r="N117" s="5">
        <f>VLOOKUP(K117,Lookup!$A$21:$B$24,2,0)</f>
        <v>5</v>
      </c>
      <c r="O117" s="5" t="s">
        <v>469</v>
      </c>
      <c r="P117" s="5" t="s">
        <v>44</v>
      </c>
      <c r="Q117" s="5">
        <f>VLOOKUP(P117,Lookup!$A$27:$B$31,2,0)</f>
        <v>2</v>
      </c>
      <c r="R117" s="6">
        <f t="shared" si="53"/>
        <v>11</v>
      </c>
      <c r="S117" s="6">
        <f>559*0.05+608*0.05</f>
        <v>58.350000000000009</v>
      </c>
      <c r="T117" s="6">
        <v>81</v>
      </c>
      <c r="U117" s="6">
        <f t="shared" si="51"/>
        <v>139.35000000000002</v>
      </c>
      <c r="V117" s="6">
        <f t="shared" si="54"/>
        <v>69.675000000000011</v>
      </c>
      <c r="W117" s="6">
        <v>100</v>
      </c>
      <c r="X117" s="18" t="s">
        <v>216</v>
      </c>
      <c r="Z117" s="33">
        <f t="shared" si="66"/>
        <v>6.2</v>
      </c>
      <c r="AA117" s="33">
        <v>0</v>
      </c>
      <c r="AB117" s="33">
        <f t="shared" si="55"/>
        <v>1.8599999999999999</v>
      </c>
      <c r="AC117" s="33">
        <f t="shared" si="56"/>
        <v>0</v>
      </c>
      <c r="AD117" s="33">
        <f t="shared" si="57"/>
        <v>1.8599999999999999</v>
      </c>
      <c r="AE117" s="33">
        <f t="shared" si="58"/>
        <v>0</v>
      </c>
      <c r="AF117" s="33">
        <f t="shared" si="59"/>
        <v>0.69440000000000002</v>
      </c>
      <c r="AG117" s="34">
        <f t="shared" si="60"/>
        <v>1543.6247999999978</v>
      </c>
      <c r="AH117" s="40">
        <f t="shared" si="61"/>
        <v>216.9</v>
      </c>
      <c r="AI117" s="40">
        <f t="shared" si="62"/>
        <v>10</v>
      </c>
      <c r="AJ117" s="40">
        <f t="shared" si="63"/>
        <v>8</v>
      </c>
      <c r="AK117" s="40">
        <f t="shared" si="64"/>
        <v>6</v>
      </c>
      <c r="AL117" s="40">
        <f t="shared" si="65"/>
        <v>9</v>
      </c>
    </row>
    <row r="118" spans="1:38" x14ac:dyDescent="0.25">
      <c r="A118" s="5">
        <v>171</v>
      </c>
      <c r="B118" s="5" t="s">
        <v>300</v>
      </c>
      <c r="C118" s="5" t="s">
        <v>470</v>
      </c>
      <c r="D118" s="5" t="s">
        <v>17</v>
      </c>
      <c r="E118" s="6">
        <v>3.8</v>
      </c>
      <c r="F118" s="5" t="s">
        <v>26</v>
      </c>
      <c r="G118" s="5">
        <f>VLOOKUP(F118,Lookup!$A$8:$B$12,2,0)</f>
        <v>1</v>
      </c>
      <c r="H118" s="5" t="s">
        <v>305</v>
      </c>
      <c r="I118" s="5">
        <v>3</v>
      </c>
      <c r="J118" s="5">
        <f>VLOOKUP(I118,Lookup!$A$15:$B$18,2,0)</f>
        <v>5</v>
      </c>
      <c r="K118" s="5" t="s">
        <v>35</v>
      </c>
      <c r="L118" s="5">
        <f>VLOOKUP(K118,Lookup!$D$21:$E$24,2,0)</f>
        <v>5</v>
      </c>
      <c r="M118" s="6">
        <f t="shared" si="52"/>
        <v>19</v>
      </c>
      <c r="N118" s="5">
        <f>VLOOKUP(K118,Lookup!$A$21:$B$24,2,0)</f>
        <v>3</v>
      </c>
      <c r="O118" s="5" t="s">
        <v>471</v>
      </c>
      <c r="P118" s="5" t="s">
        <v>43</v>
      </c>
      <c r="Q118" s="5">
        <f>VLOOKUP(P118,Lookup!$A$27:$B$31,2,0)</f>
        <v>3</v>
      </c>
      <c r="R118" s="6">
        <f t="shared" si="53"/>
        <v>12</v>
      </c>
      <c r="S118" s="6">
        <f>559*0.05+608*0.05</f>
        <v>58.350000000000009</v>
      </c>
      <c r="T118" s="6">
        <v>304</v>
      </c>
      <c r="U118" s="6">
        <f t="shared" si="51"/>
        <v>362.35</v>
      </c>
      <c r="V118" s="6">
        <f t="shared" si="54"/>
        <v>72.47</v>
      </c>
      <c r="W118" s="6">
        <v>100</v>
      </c>
      <c r="X118" s="18" t="s">
        <v>216</v>
      </c>
      <c r="Z118" s="33">
        <f t="shared" si="66"/>
        <v>19</v>
      </c>
      <c r="AA118" s="33">
        <v>0</v>
      </c>
      <c r="AB118" s="33">
        <f t="shared" si="55"/>
        <v>5.7</v>
      </c>
      <c r="AC118" s="33">
        <f t="shared" si="56"/>
        <v>0</v>
      </c>
      <c r="AD118" s="33">
        <f t="shared" si="57"/>
        <v>5.7</v>
      </c>
      <c r="AE118" s="33">
        <f t="shared" si="58"/>
        <v>0</v>
      </c>
      <c r="AF118" s="33">
        <f t="shared" si="59"/>
        <v>2.1280000000000001</v>
      </c>
      <c r="AG118" s="34">
        <f t="shared" si="60"/>
        <v>1576.1527999999978</v>
      </c>
      <c r="AH118" s="40">
        <f t="shared" si="61"/>
        <v>220.70000000000002</v>
      </c>
      <c r="AI118" s="40">
        <f t="shared" si="62"/>
        <v>11</v>
      </c>
      <c r="AJ118" s="40">
        <f t="shared" si="63"/>
        <v>7</v>
      </c>
      <c r="AK118" s="40">
        <f t="shared" si="64"/>
        <v>9</v>
      </c>
      <c r="AL118" s="40">
        <f t="shared" si="65"/>
        <v>9</v>
      </c>
    </row>
    <row r="119" spans="1:38" x14ac:dyDescent="0.25">
      <c r="A119" s="5">
        <v>3</v>
      </c>
      <c r="B119" s="5" t="s">
        <v>221</v>
      </c>
      <c r="C119" s="5" t="s">
        <v>472</v>
      </c>
      <c r="D119" s="5" t="s">
        <v>17</v>
      </c>
      <c r="E119" s="6">
        <v>1.2</v>
      </c>
      <c r="F119" s="5" t="s">
        <v>24</v>
      </c>
      <c r="G119" s="5">
        <f>VLOOKUP(F119,Lookup!$A$8:$B$12,2,0)</f>
        <v>4</v>
      </c>
      <c r="H119" s="5" t="s">
        <v>473</v>
      </c>
      <c r="I119" s="5">
        <v>1</v>
      </c>
      <c r="J119" s="5">
        <f>VLOOKUP(I119,Lookup!$A$15:$B$18,2,0)</f>
        <v>1</v>
      </c>
      <c r="K119" s="5" t="s">
        <v>35</v>
      </c>
      <c r="L119" s="5">
        <f>VLOOKUP(K119,Lookup!$D$21:$E$24,2,0)</f>
        <v>5</v>
      </c>
      <c r="M119" s="6">
        <f t="shared" si="52"/>
        <v>6</v>
      </c>
      <c r="N119" s="5">
        <f>VLOOKUP(K119,Lookup!$A$21:$B$24,2,0)</f>
        <v>3</v>
      </c>
      <c r="O119" s="5" t="s">
        <v>474</v>
      </c>
      <c r="P119" s="5" t="s">
        <v>45</v>
      </c>
      <c r="Q119" s="5">
        <f>VLOOKUP(P119,Lookup!$A$27:$B$31,2,0)</f>
        <v>1</v>
      </c>
      <c r="R119" s="6">
        <f t="shared" si="53"/>
        <v>9</v>
      </c>
      <c r="V119" s="6">
        <f t="shared" si="54"/>
        <v>4</v>
      </c>
      <c r="W119" s="6">
        <v>150</v>
      </c>
      <c r="X119" s="18" t="s">
        <v>427</v>
      </c>
      <c r="Z119" s="33">
        <f t="shared" si="66"/>
        <v>6</v>
      </c>
      <c r="AA119" s="33">
        <v>0</v>
      </c>
      <c r="AB119" s="33">
        <f t="shared" si="55"/>
        <v>1.7999999999999998</v>
      </c>
      <c r="AC119" s="33">
        <f t="shared" si="56"/>
        <v>0</v>
      </c>
      <c r="AD119" s="33">
        <f t="shared" si="57"/>
        <v>1.7999999999999998</v>
      </c>
      <c r="AE119" s="33">
        <f t="shared" si="58"/>
        <v>0</v>
      </c>
      <c r="AF119" s="33">
        <f t="shared" si="59"/>
        <v>0.67200000000000004</v>
      </c>
      <c r="AG119" s="34">
        <f t="shared" si="60"/>
        <v>1586.4247999999977</v>
      </c>
      <c r="AH119" s="40">
        <f t="shared" si="61"/>
        <v>221.9</v>
      </c>
      <c r="AI119" s="40">
        <f t="shared" si="62"/>
        <v>5</v>
      </c>
      <c r="AJ119" s="40">
        <f t="shared" si="63"/>
        <v>8</v>
      </c>
      <c r="AK119" s="40">
        <f t="shared" si="64"/>
        <v>6</v>
      </c>
      <c r="AL119" s="40">
        <f t="shared" si="65"/>
        <v>8</v>
      </c>
    </row>
    <row r="120" spans="1:38" x14ac:dyDescent="0.25">
      <c r="A120" s="29">
        <v>4</v>
      </c>
      <c r="B120" s="5" t="s">
        <v>221</v>
      </c>
      <c r="C120" s="5" t="s">
        <v>475</v>
      </c>
      <c r="D120" s="5" t="s">
        <v>17</v>
      </c>
      <c r="E120" s="6">
        <v>0.3</v>
      </c>
      <c r="F120" s="5" t="s">
        <v>24</v>
      </c>
      <c r="G120" s="5">
        <f>VLOOKUP(F120,Lookup!$A$8:$B$12,2,0)</f>
        <v>4</v>
      </c>
      <c r="H120" s="5" t="s">
        <v>473</v>
      </c>
      <c r="I120" s="5">
        <v>1</v>
      </c>
      <c r="J120" s="5">
        <f>VLOOKUP(I120,Lookup!$A$15:$B$18,2,0)</f>
        <v>1</v>
      </c>
      <c r="K120" s="5" t="s">
        <v>32</v>
      </c>
      <c r="L120" s="5">
        <f>VLOOKUP(K120,Lookup!$D$21:$E$24,2,0)</f>
        <v>20</v>
      </c>
      <c r="M120" s="6">
        <f t="shared" si="52"/>
        <v>6</v>
      </c>
      <c r="N120" s="5">
        <f>VLOOKUP(K120,Lookup!$A$21:$B$24,2,0)</f>
        <v>1</v>
      </c>
      <c r="O120" s="5" t="s">
        <v>476</v>
      </c>
      <c r="P120" s="5" t="s">
        <v>44</v>
      </c>
      <c r="Q120" s="5">
        <f>VLOOKUP(P120,Lookup!$A$27:$B$31,2,0)</f>
        <v>2</v>
      </c>
      <c r="R120" s="6">
        <f t="shared" si="53"/>
        <v>8</v>
      </c>
      <c r="V120" s="6">
        <f t="shared" si="54"/>
        <v>1</v>
      </c>
      <c r="W120" s="6">
        <v>150</v>
      </c>
      <c r="X120" s="18" t="s">
        <v>427</v>
      </c>
      <c r="Z120" s="33">
        <f t="shared" si="66"/>
        <v>6</v>
      </c>
      <c r="AA120" s="33">
        <v>0</v>
      </c>
      <c r="AB120" s="33">
        <f t="shared" si="55"/>
        <v>1.7999999999999998</v>
      </c>
      <c r="AC120" s="33">
        <f t="shared" si="56"/>
        <v>0</v>
      </c>
      <c r="AD120" s="33">
        <f t="shared" si="57"/>
        <v>1.7999999999999998</v>
      </c>
      <c r="AE120" s="33">
        <f t="shared" si="58"/>
        <v>0</v>
      </c>
      <c r="AF120" s="33">
        <f t="shared" si="59"/>
        <v>0.67200000000000004</v>
      </c>
      <c r="AG120" s="34">
        <f t="shared" si="60"/>
        <v>1596.6967999999977</v>
      </c>
      <c r="AH120" s="40">
        <f t="shared" si="61"/>
        <v>222.20000000000002</v>
      </c>
      <c r="AI120" s="40">
        <f t="shared" si="62"/>
        <v>4</v>
      </c>
      <c r="AJ120" s="40">
        <f t="shared" si="63"/>
        <v>7</v>
      </c>
      <c r="AK120" s="40">
        <f t="shared" si="64"/>
        <v>7</v>
      </c>
      <c r="AL120" s="40">
        <f t="shared" si="65"/>
        <v>6</v>
      </c>
    </row>
    <row r="121" spans="1:38" x14ac:dyDescent="0.25">
      <c r="A121" s="29">
        <v>5</v>
      </c>
      <c r="B121" s="5" t="s">
        <v>221</v>
      </c>
      <c r="C121" s="5" t="s">
        <v>477</v>
      </c>
      <c r="D121" s="5" t="s">
        <v>17</v>
      </c>
      <c r="E121" s="6">
        <v>3.4</v>
      </c>
      <c r="F121" s="5" t="s">
        <v>24</v>
      </c>
      <c r="G121" s="5">
        <f>VLOOKUP(F121,Lookup!$A$8:$B$12,2,0)</f>
        <v>4</v>
      </c>
      <c r="H121" s="5" t="s">
        <v>473</v>
      </c>
      <c r="I121" s="5">
        <v>1</v>
      </c>
      <c r="J121" s="5">
        <f>VLOOKUP(I121,Lookup!$A$15:$B$18,2,0)</f>
        <v>1</v>
      </c>
      <c r="K121" s="5" t="s">
        <v>35</v>
      </c>
      <c r="L121" s="5">
        <f>VLOOKUP(K121,Lookup!$D$21:$E$24,2,0)</f>
        <v>5</v>
      </c>
      <c r="M121" s="6">
        <f t="shared" si="52"/>
        <v>17</v>
      </c>
      <c r="N121" s="5">
        <f>VLOOKUP(K121,Lookup!$A$21:$B$24,2,0)</f>
        <v>3</v>
      </c>
      <c r="O121" s="5" t="s">
        <v>478</v>
      </c>
      <c r="P121" s="5" t="s">
        <v>45</v>
      </c>
      <c r="Q121" s="5">
        <f>VLOOKUP(P121,Lookup!$A$27:$B$31,2,0)</f>
        <v>1</v>
      </c>
      <c r="R121" s="6">
        <f t="shared" si="53"/>
        <v>9</v>
      </c>
      <c r="V121" s="6">
        <f t="shared" si="54"/>
        <v>4</v>
      </c>
      <c r="W121" s="6">
        <v>150</v>
      </c>
      <c r="X121" s="18" t="s">
        <v>427</v>
      </c>
      <c r="Z121" s="33">
        <f t="shared" si="66"/>
        <v>17</v>
      </c>
      <c r="AA121" s="33">
        <v>0</v>
      </c>
      <c r="AB121" s="33">
        <f t="shared" si="55"/>
        <v>5.0999999999999996</v>
      </c>
      <c r="AC121" s="33">
        <f t="shared" si="56"/>
        <v>0</v>
      </c>
      <c r="AD121" s="33">
        <f t="shared" si="57"/>
        <v>5.0999999999999996</v>
      </c>
      <c r="AE121" s="33">
        <f t="shared" si="58"/>
        <v>0</v>
      </c>
      <c r="AF121" s="33">
        <f t="shared" si="59"/>
        <v>1.9040000000000004</v>
      </c>
      <c r="AG121" s="34">
        <f t="shared" si="60"/>
        <v>1625.8007999999977</v>
      </c>
      <c r="AH121" s="40">
        <f t="shared" si="61"/>
        <v>225.60000000000002</v>
      </c>
      <c r="AI121" s="40">
        <f t="shared" si="62"/>
        <v>5</v>
      </c>
      <c r="AJ121" s="40">
        <f t="shared" si="63"/>
        <v>8</v>
      </c>
      <c r="AK121" s="40">
        <f t="shared" si="64"/>
        <v>6</v>
      </c>
      <c r="AL121" s="40">
        <f t="shared" si="65"/>
        <v>8</v>
      </c>
    </row>
    <row r="122" spans="1:38" x14ac:dyDescent="0.25">
      <c r="A122" s="5">
        <v>6</v>
      </c>
      <c r="B122" s="5" t="s">
        <v>221</v>
      </c>
      <c r="C122" s="5" t="s">
        <v>479</v>
      </c>
      <c r="D122" s="5" t="s">
        <v>17</v>
      </c>
      <c r="E122" s="6">
        <v>1.3</v>
      </c>
      <c r="F122" s="5" t="s">
        <v>28</v>
      </c>
      <c r="G122" s="5">
        <f>VLOOKUP(F122,Lookup!$A$8:$B$12,2,0)</f>
        <v>0</v>
      </c>
      <c r="I122" s="5">
        <v>1</v>
      </c>
      <c r="J122" s="5">
        <f>VLOOKUP(I122,Lookup!$A$15:$B$18,2,0)</f>
        <v>1</v>
      </c>
      <c r="K122" s="5" t="s">
        <v>35</v>
      </c>
      <c r="L122" s="5">
        <f>VLOOKUP(K122,Lookup!$D$21:$E$24,2,0)</f>
        <v>5</v>
      </c>
      <c r="M122" s="6">
        <f t="shared" si="52"/>
        <v>6.5</v>
      </c>
      <c r="N122" s="5">
        <f>VLOOKUP(K122,Lookup!$A$21:$B$24,2,0)</f>
        <v>3</v>
      </c>
      <c r="O122" s="5" t="s">
        <v>480</v>
      </c>
      <c r="P122" s="5" t="s">
        <v>43</v>
      </c>
      <c r="Q122" s="5">
        <f>VLOOKUP(P122,Lookup!$A$27:$B$31,2,0)</f>
        <v>3</v>
      </c>
      <c r="R122" s="6">
        <f t="shared" si="53"/>
        <v>7</v>
      </c>
      <c r="V122" s="6">
        <f t="shared" si="54"/>
        <v>4</v>
      </c>
      <c r="W122" s="6">
        <v>150</v>
      </c>
      <c r="X122" s="18" t="s">
        <v>427</v>
      </c>
      <c r="Z122" s="33">
        <f t="shared" si="66"/>
        <v>6.5</v>
      </c>
      <c r="AA122" s="33">
        <v>0</v>
      </c>
      <c r="AB122" s="33">
        <f t="shared" si="55"/>
        <v>1.95</v>
      </c>
      <c r="AC122" s="33">
        <f t="shared" si="56"/>
        <v>0</v>
      </c>
      <c r="AD122" s="33">
        <f t="shared" si="57"/>
        <v>1.95</v>
      </c>
      <c r="AE122" s="33">
        <f t="shared" si="58"/>
        <v>0</v>
      </c>
      <c r="AF122" s="33">
        <f t="shared" si="59"/>
        <v>0.72799999999999998</v>
      </c>
      <c r="AG122" s="34">
        <f t="shared" si="60"/>
        <v>1636.9287999999976</v>
      </c>
      <c r="AH122" s="40">
        <f t="shared" si="61"/>
        <v>226.90000000000003</v>
      </c>
      <c r="AI122" s="40">
        <f t="shared" si="62"/>
        <v>7</v>
      </c>
      <c r="AJ122" s="40">
        <f t="shared" si="63"/>
        <v>6</v>
      </c>
      <c r="AK122" s="40">
        <f t="shared" si="64"/>
        <v>4</v>
      </c>
      <c r="AL122" s="40">
        <f t="shared" si="65"/>
        <v>4</v>
      </c>
    </row>
    <row r="123" spans="1:38" x14ac:dyDescent="0.25">
      <c r="A123" s="29">
        <v>7</v>
      </c>
      <c r="B123" s="5" t="s">
        <v>221</v>
      </c>
      <c r="C123" s="5" t="s">
        <v>481</v>
      </c>
      <c r="D123" s="5" t="s">
        <v>18</v>
      </c>
      <c r="E123" s="6">
        <v>2.5</v>
      </c>
      <c r="F123" s="5" t="s">
        <v>28</v>
      </c>
      <c r="G123" s="5">
        <f>VLOOKUP(F123,Lookup!$A$8:$B$12,2,0)</f>
        <v>0</v>
      </c>
      <c r="I123" s="5">
        <v>1</v>
      </c>
      <c r="J123" s="5">
        <f>VLOOKUP(I123,Lookup!$A$15:$B$18,2,0)</f>
        <v>1</v>
      </c>
      <c r="K123" s="5" t="s">
        <v>37</v>
      </c>
      <c r="L123" s="5">
        <f>VLOOKUP(K123,Lookup!$D$21:$E$24,2,0)</f>
        <v>2</v>
      </c>
      <c r="M123" s="6">
        <f t="shared" si="52"/>
        <v>5</v>
      </c>
      <c r="N123" s="5">
        <f>VLOOKUP(K123,Lookup!$A$21:$B$24,2,0)</f>
        <v>5</v>
      </c>
      <c r="O123" s="5" t="s">
        <v>116</v>
      </c>
      <c r="P123" s="5" t="s">
        <v>45</v>
      </c>
      <c r="Q123" s="5">
        <f>VLOOKUP(P123,Lookup!$A$27:$B$31,2,0)</f>
        <v>1</v>
      </c>
      <c r="R123" s="6">
        <f t="shared" si="53"/>
        <v>7</v>
      </c>
      <c r="V123" s="6">
        <f t="shared" si="54"/>
        <v>10</v>
      </c>
      <c r="W123" s="6">
        <v>150</v>
      </c>
      <c r="X123" s="18" t="s">
        <v>427</v>
      </c>
      <c r="Z123" s="33">
        <f t="shared" si="66"/>
        <v>5</v>
      </c>
      <c r="AA123" s="33">
        <v>0</v>
      </c>
      <c r="AB123" s="33">
        <f t="shared" si="55"/>
        <v>1.5</v>
      </c>
      <c r="AC123" s="33">
        <f t="shared" si="56"/>
        <v>0</v>
      </c>
      <c r="AD123" s="33">
        <f t="shared" si="57"/>
        <v>1.5</v>
      </c>
      <c r="AE123" s="33">
        <f t="shared" si="58"/>
        <v>0</v>
      </c>
      <c r="AF123" s="33">
        <f t="shared" si="59"/>
        <v>0.56000000000000005</v>
      </c>
      <c r="AG123" s="34">
        <f t="shared" si="60"/>
        <v>1645.4887999999976</v>
      </c>
      <c r="AH123" s="40">
        <f t="shared" si="61"/>
        <v>229.40000000000003</v>
      </c>
      <c r="AI123" s="40">
        <f t="shared" si="62"/>
        <v>7</v>
      </c>
      <c r="AJ123" s="40">
        <f t="shared" si="63"/>
        <v>6</v>
      </c>
      <c r="AK123" s="40">
        <f t="shared" si="64"/>
        <v>2</v>
      </c>
      <c r="AL123" s="40">
        <f t="shared" si="65"/>
        <v>6</v>
      </c>
    </row>
    <row r="124" spans="1:38" x14ac:dyDescent="0.25">
      <c r="A124" s="29">
        <v>8</v>
      </c>
      <c r="B124" s="5" t="s">
        <v>221</v>
      </c>
      <c r="C124" s="5" t="s">
        <v>482</v>
      </c>
      <c r="D124" s="5" t="s">
        <v>18</v>
      </c>
      <c r="E124" s="6">
        <v>0.6</v>
      </c>
      <c r="F124" s="5" t="s">
        <v>20</v>
      </c>
      <c r="G124" s="5">
        <f>VLOOKUP(F124,Lookup!$A$8:$B$12,2,0)</f>
        <v>5</v>
      </c>
      <c r="H124" s="5" t="s">
        <v>483</v>
      </c>
      <c r="I124" s="5">
        <v>1</v>
      </c>
      <c r="J124" s="5">
        <f>VLOOKUP(I124,Lookup!$A$15:$B$18,2,0)</f>
        <v>1</v>
      </c>
      <c r="K124" s="5" t="s">
        <v>37</v>
      </c>
      <c r="L124" s="5">
        <f>VLOOKUP(K124,Lookup!$D$21:$E$24,2,0)</f>
        <v>2</v>
      </c>
      <c r="M124" s="6">
        <f t="shared" si="52"/>
        <v>1.2</v>
      </c>
      <c r="N124" s="5">
        <f>VLOOKUP(K124,Lookup!$A$21:$B$24,2,0)</f>
        <v>5</v>
      </c>
      <c r="O124" s="5" t="s">
        <v>116</v>
      </c>
      <c r="P124" s="5" t="s">
        <v>43</v>
      </c>
      <c r="Q124" s="5">
        <f>VLOOKUP(P124,Lookup!$A$27:$B$31,2,0)</f>
        <v>3</v>
      </c>
      <c r="R124" s="6">
        <f t="shared" si="53"/>
        <v>14</v>
      </c>
      <c r="V124" s="6">
        <f t="shared" si="54"/>
        <v>10</v>
      </c>
      <c r="W124" s="6">
        <v>150</v>
      </c>
      <c r="X124" s="18" t="s">
        <v>484</v>
      </c>
      <c r="Z124" s="33">
        <f t="shared" si="66"/>
        <v>1.2</v>
      </c>
      <c r="AA124" s="33">
        <v>0</v>
      </c>
      <c r="AB124" s="33">
        <f t="shared" si="55"/>
        <v>0.36</v>
      </c>
      <c r="AC124" s="33">
        <f t="shared" si="56"/>
        <v>0</v>
      </c>
      <c r="AD124" s="33">
        <f t="shared" si="57"/>
        <v>0.36</v>
      </c>
      <c r="AE124" s="33">
        <f t="shared" si="58"/>
        <v>0</v>
      </c>
      <c r="AF124" s="33">
        <f t="shared" si="59"/>
        <v>0.13440000000000002</v>
      </c>
      <c r="AG124" s="34">
        <f t="shared" si="60"/>
        <v>1647.5431999999976</v>
      </c>
      <c r="AH124" s="40">
        <f t="shared" si="61"/>
        <v>230.00000000000003</v>
      </c>
      <c r="AI124" s="40">
        <f t="shared" si="62"/>
        <v>9</v>
      </c>
      <c r="AJ124" s="40">
        <f t="shared" si="63"/>
        <v>13</v>
      </c>
      <c r="AK124" s="40">
        <f t="shared" si="64"/>
        <v>9</v>
      </c>
      <c r="AL124" s="40">
        <f t="shared" si="65"/>
        <v>11</v>
      </c>
    </row>
    <row r="125" spans="1:38" x14ac:dyDescent="0.25">
      <c r="A125" s="5">
        <v>9</v>
      </c>
      <c r="B125" s="5" t="s">
        <v>221</v>
      </c>
      <c r="C125" s="5" t="s">
        <v>485</v>
      </c>
      <c r="D125" s="5" t="s">
        <v>17</v>
      </c>
      <c r="E125" s="6">
        <v>0.3</v>
      </c>
      <c r="F125" s="5" t="s">
        <v>20</v>
      </c>
      <c r="G125" s="5">
        <f>VLOOKUP(F125,Lookup!$A$8:$B$12,2,0)</f>
        <v>5</v>
      </c>
      <c r="H125" s="5" t="s">
        <v>483</v>
      </c>
      <c r="I125" s="5">
        <v>1</v>
      </c>
      <c r="J125" s="5">
        <f>VLOOKUP(I125,Lookup!$A$15:$B$18,2,0)</f>
        <v>1</v>
      </c>
      <c r="K125" s="5" t="s">
        <v>32</v>
      </c>
      <c r="L125" s="5">
        <f>VLOOKUP(K125,Lookup!$D$21:$E$24,2,0)</f>
        <v>20</v>
      </c>
      <c r="M125" s="6">
        <f t="shared" si="52"/>
        <v>6</v>
      </c>
      <c r="N125" s="5">
        <f>VLOOKUP(K125,Lookup!$A$21:$B$24,2,0)</f>
        <v>1</v>
      </c>
      <c r="O125" s="5" t="s">
        <v>486</v>
      </c>
      <c r="P125" s="5" t="s">
        <v>44</v>
      </c>
      <c r="Q125" s="5">
        <f>VLOOKUP(P125,Lookup!$A$27:$B$31,2,0)</f>
        <v>2</v>
      </c>
      <c r="R125" s="6">
        <f t="shared" si="53"/>
        <v>9</v>
      </c>
      <c r="V125" s="6">
        <f t="shared" si="54"/>
        <v>1</v>
      </c>
      <c r="W125" s="6">
        <v>150</v>
      </c>
      <c r="X125" s="18" t="s">
        <v>427</v>
      </c>
      <c r="Z125" s="33">
        <f t="shared" si="66"/>
        <v>6</v>
      </c>
      <c r="AA125" s="33">
        <v>0</v>
      </c>
      <c r="AB125" s="33">
        <f t="shared" si="55"/>
        <v>1.7999999999999998</v>
      </c>
      <c r="AC125" s="33">
        <f t="shared" si="56"/>
        <v>0</v>
      </c>
      <c r="AD125" s="33">
        <f t="shared" si="57"/>
        <v>1.7999999999999998</v>
      </c>
      <c r="AE125" s="33">
        <f t="shared" si="58"/>
        <v>0</v>
      </c>
      <c r="AF125" s="33">
        <f t="shared" si="59"/>
        <v>0.67200000000000004</v>
      </c>
      <c r="AG125" s="34">
        <f t="shared" si="60"/>
        <v>1657.8151999999975</v>
      </c>
      <c r="AH125" s="40">
        <f t="shared" si="61"/>
        <v>230.30000000000004</v>
      </c>
      <c r="AI125" s="40">
        <f t="shared" si="62"/>
        <v>4</v>
      </c>
      <c r="AJ125" s="40">
        <f t="shared" si="63"/>
        <v>8</v>
      </c>
      <c r="AK125" s="40">
        <f t="shared" si="64"/>
        <v>8</v>
      </c>
      <c r="AL125" s="40">
        <f t="shared" si="65"/>
        <v>7</v>
      </c>
    </row>
    <row r="126" spans="1:38" x14ac:dyDescent="0.25">
      <c r="A126" s="29">
        <v>10</v>
      </c>
      <c r="B126" s="5" t="s">
        <v>221</v>
      </c>
      <c r="C126" s="5" t="s">
        <v>487</v>
      </c>
      <c r="D126" s="5" t="s">
        <v>17</v>
      </c>
      <c r="E126" s="6">
        <v>1.4</v>
      </c>
      <c r="F126" s="5" t="s">
        <v>20</v>
      </c>
      <c r="G126" s="5">
        <f>VLOOKUP(F126,Lookup!$A$8:$B$12,2,0)</f>
        <v>5</v>
      </c>
      <c r="H126" s="5" t="s">
        <v>483</v>
      </c>
      <c r="I126" s="5">
        <v>1</v>
      </c>
      <c r="J126" s="5">
        <f>VLOOKUP(I126,Lookup!$A$15:$B$18,2,0)</f>
        <v>1</v>
      </c>
      <c r="K126" s="5" t="s">
        <v>32</v>
      </c>
      <c r="L126" s="5">
        <f>VLOOKUP(K126,Lookup!$D$21:$E$24,2,0)</f>
        <v>20</v>
      </c>
      <c r="M126" s="6">
        <f t="shared" si="52"/>
        <v>28</v>
      </c>
      <c r="N126" s="5">
        <f>VLOOKUP(K126,Lookup!$A$21:$B$24,2,0)</f>
        <v>1</v>
      </c>
      <c r="O126" s="5" t="s">
        <v>488</v>
      </c>
      <c r="P126" s="5" t="s">
        <v>40</v>
      </c>
      <c r="Q126" s="5">
        <f>VLOOKUP(P126,Lookup!$A$27:$B$31,2,0)</f>
        <v>5</v>
      </c>
      <c r="R126" s="6">
        <f t="shared" si="53"/>
        <v>12</v>
      </c>
      <c r="V126" s="6">
        <f t="shared" si="54"/>
        <v>1</v>
      </c>
      <c r="W126" s="6">
        <v>150</v>
      </c>
      <c r="X126" s="18" t="s">
        <v>484</v>
      </c>
      <c r="Z126" s="33">
        <f t="shared" si="66"/>
        <v>28</v>
      </c>
      <c r="AA126" s="33">
        <v>0</v>
      </c>
      <c r="AB126" s="33">
        <f t="shared" si="55"/>
        <v>8.4</v>
      </c>
      <c r="AC126" s="33">
        <f t="shared" si="56"/>
        <v>0</v>
      </c>
      <c r="AD126" s="33">
        <f t="shared" si="57"/>
        <v>8.4</v>
      </c>
      <c r="AE126" s="33">
        <f t="shared" si="58"/>
        <v>0</v>
      </c>
      <c r="AF126" s="33">
        <f t="shared" si="59"/>
        <v>3.1360000000000001</v>
      </c>
      <c r="AG126" s="34">
        <f t="shared" si="60"/>
        <v>1705.7511999999974</v>
      </c>
      <c r="AH126" s="40">
        <f t="shared" si="61"/>
        <v>231.70000000000005</v>
      </c>
      <c r="AI126" s="40">
        <f t="shared" si="62"/>
        <v>7</v>
      </c>
      <c r="AJ126" s="40">
        <f t="shared" si="63"/>
        <v>11</v>
      </c>
      <c r="AK126" s="40">
        <f t="shared" si="64"/>
        <v>11</v>
      </c>
      <c r="AL126" s="40">
        <f t="shared" si="65"/>
        <v>7</v>
      </c>
    </row>
    <row r="127" spans="1:38" x14ac:dyDescent="0.25">
      <c r="A127" s="29">
        <v>11</v>
      </c>
      <c r="B127" s="5" t="s">
        <v>221</v>
      </c>
      <c r="C127" s="5" t="s">
        <v>489</v>
      </c>
      <c r="D127" s="5" t="s">
        <v>18</v>
      </c>
      <c r="E127" s="6">
        <v>1.5</v>
      </c>
      <c r="F127" s="5" t="s">
        <v>28</v>
      </c>
      <c r="G127" s="5">
        <f>VLOOKUP(F127,Lookup!$A$8:$B$12,2,0)</f>
        <v>0</v>
      </c>
      <c r="I127" s="5">
        <v>2</v>
      </c>
      <c r="J127" s="5">
        <f>VLOOKUP(I127,Lookup!$A$15:$B$18,2,0)</f>
        <v>3</v>
      </c>
      <c r="K127" s="5" t="s">
        <v>37</v>
      </c>
      <c r="L127" s="5">
        <f>VLOOKUP(K127,Lookup!$D$21:$E$24,2,0)</f>
        <v>2</v>
      </c>
      <c r="M127" s="6">
        <f t="shared" si="52"/>
        <v>3</v>
      </c>
      <c r="N127" s="5">
        <f>VLOOKUP(K127,Lookup!$A$21:$B$24,2,0)</f>
        <v>5</v>
      </c>
      <c r="O127" s="5" t="s">
        <v>116</v>
      </c>
      <c r="P127" s="5" t="s">
        <v>44</v>
      </c>
      <c r="Q127" s="5">
        <f>VLOOKUP(P127,Lookup!$A$27:$B$31,2,0)</f>
        <v>2</v>
      </c>
      <c r="R127" s="6">
        <f t="shared" si="53"/>
        <v>10</v>
      </c>
      <c r="V127" s="6">
        <f t="shared" si="54"/>
        <v>10</v>
      </c>
      <c r="W127" s="6">
        <v>150</v>
      </c>
      <c r="X127" s="18" t="s">
        <v>427</v>
      </c>
      <c r="Z127" s="33">
        <f t="shared" si="66"/>
        <v>3</v>
      </c>
      <c r="AA127" s="33">
        <v>0</v>
      </c>
      <c r="AB127" s="33">
        <f t="shared" si="55"/>
        <v>0.89999999999999991</v>
      </c>
      <c r="AC127" s="33">
        <f t="shared" si="56"/>
        <v>0</v>
      </c>
      <c r="AD127" s="33">
        <f t="shared" si="57"/>
        <v>0.89999999999999991</v>
      </c>
      <c r="AE127" s="33">
        <f t="shared" si="58"/>
        <v>0</v>
      </c>
      <c r="AF127" s="33">
        <f t="shared" si="59"/>
        <v>0.33600000000000002</v>
      </c>
      <c r="AG127" s="34">
        <f t="shared" si="60"/>
        <v>1710.8871999999974</v>
      </c>
      <c r="AH127" s="40">
        <f t="shared" si="61"/>
        <v>233.20000000000005</v>
      </c>
      <c r="AI127" s="40">
        <f t="shared" si="62"/>
        <v>10</v>
      </c>
      <c r="AJ127" s="40">
        <f t="shared" si="63"/>
        <v>7</v>
      </c>
      <c r="AK127" s="40">
        <f t="shared" si="64"/>
        <v>5</v>
      </c>
      <c r="AL127" s="40">
        <f t="shared" si="65"/>
        <v>8</v>
      </c>
    </row>
    <row r="128" spans="1:38" x14ac:dyDescent="0.25">
      <c r="A128" s="5">
        <v>12</v>
      </c>
      <c r="B128" s="5" t="s">
        <v>221</v>
      </c>
      <c r="C128" s="5" t="s">
        <v>490</v>
      </c>
      <c r="D128" s="5" t="s">
        <v>17</v>
      </c>
      <c r="E128" s="6">
        <v>1.3</v>
      </c>
      <c r="F128" s="5" t="s">
        <v>28</v>
      </c>
      <c r="G128" s="5">
        <f>VLOOKUP(F128,Lookup!$A$8:$B$12,2,0)</f>
        <v>0</v>
      </c>
      <c r="I128" s="5">
        <v>1</v>
      </c>
      <c r="J128" s="5">
        <f>VLOOKUP(I128,Lookup!$A$15:$B$18,2,0)</f>
        <v>1</v>
      </c>
      <c r="K128" s="5" t="s">
        <v>35</v>
      </c>
      <c r="L128" s="5">
        <f>VLOOKUP(K128,Lookup!$D$21:$E$24,2,0)</f>
        <v>5</v>
      </c>
      <c r="M128" s="6">
        <f t="shared" si="52"/>
        <v>6.5</v>
      </c>
      <c r="N128" s="5">
        <f>VLOOKUP(K128,Lookup!$A$21:$B$24,2,0)</f>
        <v>3</v>
      </c>
      <c r="O128" s="5" t="s">
        <v>478</v>
      </c>
      <c r="P128" s="5" t="s">
        <v>45</v>
      </c>
      <c r="Q128" s="5">
        <f>VLOOKUP(P128,Lookup!$A$27:$B$31,2,0)</f>
        <v>1</v>
      </c>
      <c r="R128" s="6">
        <f t="shared" si="53"/>
        <v>5</v>
      </c>
      <c r="V128" s="6">
        <f t="shared" si="54"/>
        <v>4</v>
      </c>
      <c r="W128" s="6">
        <v>150</v>
      </c>
      <c r="X128" s="18" t="s">
        <v>427</v>
      </c>
      <c r="Z128" s="33">
        <f t="shared" si="66"/>
        <v>6.5</v>
      </c>
      <c r="AA128" s="33">
        <v>0</v>
      </c>
      <c r="AB128" s="33">
        <f t="shared" si="55"/>
        <v>1.95</v>
      </c>
      <c r="AC128" s="33">
        <f t="shared" si="56"/>
        <v>0</v>
      </c>
      <c r="AD128" s="33">
        <f t="shared" si="57"/>
        <v>1.95</v>
      </c>
      <c r="AE128" s="33">
        <f t="shared" si="58"/>
        <v>0</v>
      </c>
      <c r="AF128" s="33">
        <f t="shared" si="59"/>
        <v>0.72799999999999998</v>
      </c>
      <c r="AG128" s="34">
        <f t="shared" si="60"/>
        <v>1722.0151999999973</v>
      </c>
      <c r="AH128" s="40">
        <f t="shared" si="61"/>
        <v>234.50000000000006</v>
      </c>
      <c r="AI128" s="40">
        <f t="shared" si="62"/>
        <v>5</v>
      </c>
      <c r="AJ128" s="40">
        <f t="shared" si="63"/>
        <v>4</v>
      </c>
      <c r="AK128" s="40">
        <f t="shared" si="64"/>
        <v>2</v>
      </c>
      <c r="AL128" s="40">
        <f t="shared" si="65"/>
        <v>4</v>
      </c>
    </row>
    <row r="129" spans="1:38" x14ac:dyDescent="0.25">
      <c r="A129" s="29">
        <v>13</v>
      </c>
      <c r="B129" s="5" t="s">
        <v>221</v>
      </c>
      <c r="C129" s="5" t="s">
        <v>491</v>
      </c>
      <c r="D129" s="5" t="s">
        <v>17</v>
      </c>
      <c r="E129" s="6">
        <v>1</v>
      </c>
      <c r="F129" s="5" t="s">
        <v>20</v>
      </c>
      <c r="G129" s="5">
        <f>VLOOKUP(F129,Lookup!$A$8:$B$12,2,0)</f>
        <v>5</v>
      </c>
      <c r="H129" s="5" t="s">
        <v>483</v>
      </c>
      <c r="I129" s="5">
        <v>2</v>
      </c>
      <c r="J129" s="5">
        <f>VLOOKUP(I129,Lookup!$A$15:$B$18,2,0)</f>
        <v>3</v>
      </c>
      <c r="K129" s="5" t="s">
        <v>37</v>
      </c>
      <c r="L129" s="5">
        <f>VLOOKUP(K129,Lookup!$D$21:$E$24,2,0)</f>
        <v>2</v>
      </c>
      <c r="M129" s="6">
        <f t="shared" si="52"/>
        <v>2</v>
      </c>
      <c r="N129" s="5">
        <f>VLOOKUP(K129,Lookup!$A$21:$B$24,2,0)</f>
        <v>5</v>
      </c>
      <c r="O129" s="5" t="s">
        <v>492</v>
      </c>
      <c r="P129" s="5" t="s">
        <v>44</v>
      </c>
      <c r="Q129" s="5">
        <f>VLOOKUP(P129,Lookup!$A$27:$B$31,2,0)</f>
        <v>2</v>
      </c>
      <c r="R129" s="6">
        <f t="shared" si="53"/>
        <v>15</v>
      </c>
      <c r="V129" s="6">
        <f t="shared" si="54"/>
        <v>10</v>
      </c>
      <c r="W129" s="6">
        <v>150</v>
      </c>
      <c r="X129" s="18" t="s">
        <v>484</v>
      </c>
      <c r="Z129" s="33">
        <f t="shared" si="66"/>
        <v>2</v>
      </c>
      <c r="AA129" s="33">
        <v>0</v>
      </c>
      <c r="AB129" s="33">
        <f t="shared" si="55"/>
        <v>0.6</v>
      </c>
      <c r="AC129" s="33">
        <f t="shared" si="56"/>
        <v>0</v>
      </c>
      <c r="AD129" s="33">
        <f t="shared" si="57"/>
        <v>0.6</v>
      </c>
      <c r="AE129" s="33">
        <f t="shared" si="58"/>
        <v>0</v>
      </c>
      <c r="AF129" s="33">
        <f t="shared" si="59"/>
        <v>0.22400000000000003</v>
      </c>
      <c r="AG129" s="34">
        <f t="shared" si="60"/>
        <v>1725.4391999999973</v>
      </c>
      <c r="AH129" s="40">
        <f t="shared" si="61"/>
        <v>235.50000000000006</v>
      </c>
      <c r="AI129" s="40">
        <f t="shared" si="62"/>
        <v>10</v>
      </c>
      <c r="AJ129" s="40">
        <f t="shared" si="63"/>
        <v>12</v>
      </c>
      <c r="AK129" s="40">
        <f t="shared" si="64"/>
        <v>10</v>
      </c>
      <c r="AL129" s="40">
        <f t="shared" si="65"/>
        <v>13</v>
      </c>
    </row>
    <row r="130" spans="1:38" x14ac:dyDescent="0.25">
      <c r="A130" s="29">
        <v>14</v>
      </c>
      <c r="B130" s="5" t="s">
        <v>493</v>
      </c>
      <c r="C130" s="5" t="s">
        <v>494</v>
      </c>
      <c r="D130" s="5" t="s">
        <v>17</v>
      </c>
      <c r="E130" s="6">
        <v>2</v>
      </c>
      <c r="F130" s="5" t="s">
        <v>28</v>
      </c>
      <c r="G130" s="5">
        <f>VLOOKUP(F130,Lookup!$A$8:$B$12,2,0)</f>
        <v>0</v>
      </c>
      <c r="I130" s="5">
        <v>2</v>
      </c>
      <c r="J130" s="5">
        <f>VLOOKUP(I130,Lookup!$A$15:$B$18,2,0)</f>
        <v>3</v>
      </c>
      <c r="K130" s="5" t="s">
        <v>37</v>
      </c>
      <c r="L130" s="5">
        <f>VLOOKUP(K130,Lookup!$D$21:$E$24,2,0)</f>
        <v>2</v>
      </c>
      <c r="M130" s="6">
        <f t="shared" si="52"/>
        <v>4</v>
      </c>
      <c r="N130" s="5">
        <f>VLOOKUP(K130,Lookup!$A$21:$B$24,2,0)</f>
        <v>5</v>
      </c>
      <c r="O130" s="5" t="s">
        <v>495</v>
      </c>
      <c r="P130" s="5" t="s">
        <v>44</v>
      </c>
      <c r="Q130" s="5">
        <f>VLOOKUP(P130,Lookup!$A$27:$B$31,2,0)</f>
        <v>2</v>
      </c>
      <c r="R130" s="6">
        <f t="shared" si="53"/>
        <v>10</v>
      </c>
      <c r="S130" s="6">
        <f>426*0.1</f>
        <v>42.6</v>
      </c>
      <c r="U130" s="6">
        <f>T130+S130</f>
        <v>42.6</v>
      </c>
      <c r="V130" s="6">
        <f t="shared" si="54"/>
        <v>21.3</v>
      </c>
      <c r="W130" s="6">
        <v>150</v>
      </c>
      <c r="X130" s="18" t="s">
        <v>427</v>
      </c>
      <c r="Z130" s="33">
        <f t="shared" si="66"/>
        <v>4</v>
      </c>
      <c r="AA130" s="33">
        <v>0</v>
      </c>
      <c r="AB130" s="33">
        <f t="shared" si="55"/>
        <v>1.2</v>
      </c>
      <c r="AC130" s="33">
        <f t="shared" si="56"/>
        <v>0</v>
      </c>
      <c r="AD130" s="33">
        <f t="shared" si="57"/>
        <v>1.2</v>
      </c>
      <c r="AE130" s="33">
        <f t="shared" si="58"/>
        <v>0</v>
      </c>
      <c r="AF130" s="33">
        <f t="shared" si="59"/>
        <v>0.44800000000000006</v>
      </c>
      <c r="AG130" s="34">
        <f t="shared" si="60"/>
        <v>1732.2871999999973</v>
      </c>
      <c r="AH130" s="40">
        <f t="shared" si="61"/>
        <v>237.50000000000006</v>
      </c>
      <c r="AI130" s="40">
        <f t="shared" si="62"/>
        <v>10</v>
      </c>
      <c r="AJ130" s="40">
        <f t="shared" si="63"/>
        <v>7</v>
      </c>
      <c r="AK130" s="40">
        <f t="shared" si="64"/>
        <v>5</v>
      </c>
      <c r="AL130" s="40">
        <f t="shared" si="65"/>
        <v>8</v>
      </c>
    </row>
    <row r="131" spans="1:38" x14ac:dyDescent="0.25">
      <c r="A131" s="5">
        <v>15</v>
      </c>
      <c r="B131" s="5" t="s">
        <v>493</v>
      </c>
      <c r="C131" s="5" t="s">
        <v>496</v>
      </c>
      <c r="D131" s="5" t="s">
        <v>17</v>
      </c>
      <c r="E131" s="6">
        <v>0.8</v>
      </c>
      <c r="F131" s="5" t="s">
        <v>20</v>
      </c>
      <c r="G131" s="5">
        <f>VLOOKUP(F131,Lookup!$A$8:$B$12,2,0)</f>
        <v>5</v>
      </c>
      <c r="H131" s="5" t="s">
        <v>497</v>
      </c>
      <c r="I131" s="5">
        <v>2</v>
      </c>
      <c r="J131" s="5">
        <f>VLOOKUP(I131,Lookup!$A$15:$B$18,2,0)</f>
        <v>3</v>
      </c>
      <c r="K131" s="5" t="s">
        <v>37</v>
      </c>
      <c r="L131" s="5">
        <f>VLOOKUP(K131,Lookup!$D$21:$E$24,2,0)</f>
        <v>2</v>
      </c>
      <c r="M131" s="6">
        <f t="shared" ref="M131:M162" si="67">E131*L131</f>
        <v>1.6</v>
      </c>
      <c r="N131" s="5">
        <f>VLOOKUP(K131,Lookup!$A$21:$B$24,2,0)</f>
        <v>5</v>
      </c>
      <c r="O131" s="5" t="s">
        <v>116</v>
      </c>
      <c r="P131" s="5" t="s">
        <v>45</v>
      </c>
      <c r="Q131" s="5">
        <f>VLOOKUP(P131,Lookup!$A$27:$B$31,2,0)</f>
        <v>1</v>
      </c>
      <c r="R131" s="6">
        <f t="shared" ref="R131:R162" si="68">G131+J131+N131+Q131</f>
        <v>14</v>
      </c>
      <c r="S131" s="6">
        <f>426*0.1</f>
        <v>42.6</v>
      </c>
      <c r="U131" s="6">
        <f>T131+S131</f>
        <v>42.6</v>
      </c>
      <c r="V131" s="6">
        <f t="shared" ref="V131:V162" si="69">(IF(ISBLANK(U131)=TRUE,20,U131)*E131)/M131</f>
        <v>21.3</v>
      </c>
      <c r="W131" s="6">
        <v>150</v>
      </c>
      <c r="X131" s="18" t="s">
        <v>484</v>
      </c>
      <c r="Z131" s="33">
        <f t="shared" si="66"/>
        <v>1.6</v>
      </c>
      <c r="AA131" s="33">
        <v>0</v>
      </c>
      <c r="AB131" s="33">
        <f t="shared" ref="AB131:AB162" si="70">Z131*0.3</f>
        <v>0.48</v>
      </c>
      <c r="AC131" s="33">
        <f t="shared" ref="AC131:AC162" si="71">AA131*0.3</f>
        <v>0</v>
      </c>
      <c r="AD131" s="33">
        <f t="shared" ref="AD131:AD162" si="72">Z131*0.3</f>
        <v>0.48</v>
      </c>
      <c r="AE131" s="33">
        <f t="shared" ref="AE131:AE162" si="73">AA131*0.3</f>
        <v>0</v>
      </c>
      <c r="AF131" s="33">
        <f t="shared" ref="AF131:AF162" si="74">SUM(Z131:AE131)*0.07</f>
        <v>0.17920000000000003</v>
      </c>
      <c r="AG131" s="34">
        <f t="shared" ref="AG131:AG162" si="75">SUM(Z131:AF131)+AG130</f>
        <v>1735.0263999999972</v>
      </c>
      <c r="AH131" s="40">
        <f t="shared" ref="AH131:AH162" si="76">AH130+E131</f>
        <v>238.30000000000007</v>
      </c>
      <c r="AI131" s="40">
        <f t="shared" ref="AI131:AI162" si="77">R131-G131</f>
        <v>9</v>
      </c>
      <c r="AJ131" s="40">
        <f t="shared" ref="AJ131:AJ162" si="78">R131-J131</f>
        <v>11</v>
      </c>
      <c r="AK131" s="40">
        <f t="shared" ref="AK131:AK162" si="79">R131-N131</f>
        <v>9</v>
      </c>
      <c r="AL131" s="40">
        <f t="shared" ref="AL131:AL162" si="80">R131-Q131</f>
        <v>13</v>
      </c>
    </row>
    <row r="132" spans="1:38" x14ac:dyDescent="0.25">
      <c r="A132" s="29">
        <v>16</v>
      </c>
      <c r="B132" s="5" t="s">
        <v>493</v>
      </c>
      <c r="C132" s="5" t="s">
        <v>498</v>
      </c>
      <c r="D132" s="5" t="s">
        <v>17</v>
      </c>
      <c r="E132" s="6">
        <v>1</v>
      </c>
      <c r="F132" s="5" t="s">
        <v>20</v>
      </c>
      <c r="G132" s="5">
        <f>VLOOKUP(F132,Lookup!$A$8:$B$12,2,0)</f>
        <v>5</v>
      </c>
      <c r="H132" s="5" t="s">
        <v>497</v>
      </c>
      <c r="I132" s="5">
        <v>2</v>
      </c>
      <c r="J132" s="5">
        <f>VLOOKUP(I132,Lookup!$A$15:$B$18,2,0)</f>
        <v>3</v>
      </c>
      <c r="K132" s="5" t="s">
        <v>33</v>
      </c>
      <c r="L132" s="5">
        <f>VLOOKUP(K132,Lookup!$D$21:$E$24,2,0)</f>
        <v>10</v>
      </c>
      <c r="M132" s="6">
        <f t="shared" si="67"/>
        <v>10</v>
      </c>
      <c r="N132" s="5">
        <f>VLOOKUP(K132,Lookup!$A$21:$B$24,2,0)</f>
        <v>2</v>
      </c>
      <c r="O132" s="5" t="s">
        <v>499</v>
      </c>
      <c r="P132" s="5" t="s">
        <v>44</v>
      </c>
      <c r="Q132" s="5">
        <f>VLOOKUP(P132,Lookup!$A$27:$B$31,2,0)</f>
        <v>2</v>
      </c>
      <c r="R132" s="6">
        <f t="shared" si="68"/>
        <v>12</v>
      </c>
      <c r="S132" s="6">
        <f>426*0.1</f>
        <v>42.6</v>
      </c>
      <c r="U132" s="6">
        <f>T132+S132</f>
        <v>42.6</v>
      </c>
      <c r="V132" s="6">
        <f t="shared" si="69"/>
        <v>4.26</v>
      </c>
      <c r="W132" s="6">
        <v>150</v>
      </c>
      <c r="X132" s="18" t="s">
        <v>484</v>
      </c>
      <c r="Z132" s="33">
        <f t="shared" si="66"/>
        <v>10</v>
      </c>
      <c r="AA132" s="33">
        <v>0</v>
      </c>
      <c r="AB132" s="33">
        <f t="shared" si="70"/>
        <v>3</v>
      </c>
      <c r="AC132" s="33">
        <f t="shared" si="71"/>
        <v>0</v>
      </c>
      <c r="AD132" s="33">
        <f t="shared" si="72"/>
        <v>3</v>
      </c>
      <c r="AE132" s="33">
        <f t="shared" si="73"/>
        <v>0</v>
      </c>
      <c r="AF132" s="33">
        <f t="shared" si="74"/>
        <v>1.1200000000000001</v>
      </c>
      <c r="AG132" s="34">
        <f t="shared" si="75"/>
        <v>1752.1463999999971</v>
      </c>
      <c r="AH132" s="40">
        <f t="shared" si="76"/>
        <v>239.30000000000007</v>
      </c>
      <c r="AI132" s="40">
        <f t="shared" si="77"/>
        <v>7</v>
      </c>
      <c r="AJ132" s="40">
        <f t="shared" si="78"/>
        <v>9</v>
      </c>
      <c r="AK132" s="40">
        <f t="shared" si="79"/>
        <v>10</v>
      </c>
      <c r="AL132" s="40">
        <f t="shared" si="80"/>
        <v>10</v>
      </c>
    </row>
    <row r="133" spans="1:38" x14ac:dyDescent="0.25">
      <c r="A133" s="29">
        <v>22</v>
      </c>
      <c r="B133" s="5" t="s">
        <v>186</v>
      </c>
      <c r="C133" s="5" t="s">
        <v>500</v>
      </c>
      <c r="D133" s="5" t="s">
        <v>17</v>
      </c>
      <c r="E133" s="6">
        <v>0.4</v>
      </c>
      <c r="F133" s="5" t="s">
        <v>24</v>
      </c>
      <c r="G133" s="5">
        <f>VLOOKUP(F133,Lookup!$A$8:$B$12,2,0)</f>
        <v>4</v>
      </c>
      <c r="H133" s="5" t="s">
        <v>348</v>
      </c>
      <c r="I133" s="5">
        <v>2</v>
      </c>
      <c r="J133" s="5">
        <f>VLOOKUP(I133,Lookup!$A$15:$B$18,2,0)</f>
        <v>3</v>
      </c>
      <c r="K133" s="5" t="s">
        <v>33</v>
      </c>
      <c r="L133" s="5">
        <f>VLOOKUP(K133,Lookup!$D$21:$E$24,2,0)</f>
        <v>10</v>
      </c>
      <c r="M133" s="6">
        <f t="shared" si="67"/>
        <v>4</v>
      </c>
      <c r="N133" s="5">
        <f>VLOOKUP(K133,Lookup!$A$21:$B$24,2,0)</f>
        <v>2</v>
      </c>
      <c r="O133" s="5" t="s">
        <v>501</v>
      </c>
      <c r="P133" s="5" t="s">
        <v>45</v>
      </c>
      <c r="Q133" s="5">
        <f>VLOOKUP(P133,Lookup!$A$27:$B$31,2,0)</f>
        <v>1</v>
      </c>
      <c r="R133" s="6">
        <f t="shared" si="68"/>
        <v>10</v>
      </c>
      <c r="S133" s="6">
        <f>1235*0.1</f>
        <v>123.5</v>
      </c>
      <c r="T133" s="6">
        <v>156</v>
      </c>
      <c r="U133" s="6">
        <f>T133+S133</f>
        <v>279.5</v>
      </c>
      <c r="V133" s="6">
        <f t="shared" si="69"/>
        <v>27.950000000000003</v>
      </c>
      <c r="W133" s="6">
        <v>150</v>
      </c>
      <c r="X133" s="18" t="s">
        <v>427</v>
      </c>
      <c r="Y133" s="5" t="s">
        <v>379</v>
      </c>
      <c r="Z133" s="33">
        <f t="shared" si="66"/>
        <v>4</v>
      </c>
      <c r="AA133" s="33">
        <v>0</v>
      </c>
      <c r="AB133" s="33">
        <f t="shared" si="70"/>
        <v>1.2</v>
      </c>
      <c r="AC133" s="33">
        <f t="shared" si="71"/>
        <v>0</v>
      </c>
      <c r="AD133" s="33">
        <f t="shared" si="72"/>
        <v>1.2</v>
      </c>
      <c r="AE133" s="33">
        <f t="shared" si="73"/>
        <v>0</v>
      </c>
      <c r="AF133" s="33">
        <f t="shared" si="74"/>
        <v>0.44800000000000006</v>
      </c>
      <c r="AG133" s="34">
        <f t="shared" si="75"/>
        <v>1758.9943999999971</v>
      </c>
      <c r="AH133" s="40">
        <f t="shared" si="76"/>
        <v>239.70000000000007</v>
      </c>
      <c r="AI133" s="40">
        <f t="shared" si="77"/>
        <v>6</v>
      </c>
      <c r="AJ133" s="40">
        <f t="shared" si="78"/>
        <v>7</v>
      </c>
      <c r="AK133" s="40">
        <f t="shared" si="79"/>
        <v>8</v>
      </c>
      <c r="AL133" s="40">
        <f t="shared" si="80"/>
        <v>9</v>
      </c>
    </row>
    <row r="134" spans="1:38" x14ac:dyDescent="0.25">
      <c r="A134" s="5">
        <v>27</v>
      </c>
      <c r="B134" s="5" t="s">
        <v>346</v>
      </c>
      <c r="C134" s="5" t="s">
        <v>502</v>
      </c>
      <c r="D134" s="5" t="s">
        <v>18</v>
      </c>
      <c r="E134" s="6">
        <v>1.8</v>
      </c>
      <c r="F134" s="5" t="s">
        <v>24</v>
      </c>
      <c r="G134" s="5">
        <f>VLOOKUP(F134,Lookup!$A$8:$B$12,2,0)</f>
        <v>4</v>
      </c>
      <c r="H134" s="5" t="s">
        <v>503</v>
      </c>
      <c r="I134" s="5">
        <v>2</v>
      </c>
      <c r="J134" s="5">
        <f>VLOOKUP(I134,Lookup!$A$15:$B$18,2,0)</f>
        <v>3</v>
      </c>
      <c r="K134" s="5" t="s">
        <v>37</v>
      </c>
      <c r="L134" s="5">
        <f>VLOOKUP(K134,Lookup!$D$21:$E$24,2,0)</f>
        <v>2</v>
      </c>
      <c r="M134" s="6">
        <f t="shared" si="67"/>
        <v>3.6</v>
      </c>
      <c r="N134" s="5">
        <f>VLOOKUP(K134,Lookup!$A$21:$B$24,2,0)</f>
        <v>5</v>
      </c>
      <c r="O134" s="5" t="s">
        <v>504</v>
      </c>
      <c r="P134" s="5" t="s">
        <v>44</v>
      </c>
      <c r="Q134" s="5">
        <f>VLOOKUP(P134,Lookup!$A$27:$B$31,2,0)</f>
        <v>2</v>
      </c>
      <c r="R134" s="6">
        <f t="shared" si="68"/>
        <v>14</v>
      </c>
      <c r="S134" s="6">
        <f>681*0.1</f>
        <v>68.100000000000009</v>
      </c>
      <c r="U134" s="6">
        <f>T134+S134</f>
        <v>68.100000000000009</v>
      </c>
      <c r="V134" s="6">
        <f t="shared" si="69"/>
        <v>34.050000000000004</v>
      </c>
      <c r="W134" s="6">
        <v>150</v>
      </c>
      <c r="X134" s="18" t="s">
        <v>484</v>
      </c>
      <c r="Z134" s="33">
        <f t="shared" si="66"/>
        <v>3.6</v>
      </c>
      <c r="AA134" s="33">
        <v>0</v>
      </c>
      <c r="AB134" s="33">
        <f t="shared" si="70"/>
        <v>1.08</v>
      </c>
      <c r="AC134" s="33">
        <f t="shared" si="71"/>
        <v>0</v>
      </c>
      <c r="AD134" s="33">
        <f t="shared" si="72"/>
        <v>1.08</v>
      </c>
      <c r="AE134" s="33">
        <f t="shared" si="73"/>
        <v>0</v>
      </c>
      <c r="AF134" s="33">
        <f t="shared" si="74"/>
        <v>0.4032</v>
      </c>
      <c r="AG134" s="34">
        <f t="shared" si="75"/>
        <v>1765.157599999997</v>
      </c>
      <c r="AH134" s="40">
        <f t="shared" si="76"/>
        <v>241.50000000000009</v>
      </c>
      <c r="AI134" s="40">
        <f t="shared" si="77"/>
        <v>10</v>
      </c>
      <c r="AJ134" s="40">
        <f t="shared" si="78"/>
        <v>11</v>
      </c>
      <c r="AK134" s="40">
        <f t="shared" si="79"/>
        <v>9</v>
      </c>
      <c r="AL134" s="40">
        <f t="shared" si="80"/>
        <v>12</v>
      </c>
    </row>
    <row r="135" spans="1:38" x14ac:dyDescent="0.25">
      <c r="A135" s="5">
        <v>30</v>
      </c>
      <c r="B135" s="5" t="s">
        <v>505</v>
      </c>
      <c r="C135" s="5" t="s">
        <v>506</v>
      </c>
      <c r="D135" s="5" t="s">
        <v>17</v>
      </c>
      <c r="E135" s="6">
        <v>0.8</v>
      </c>
      <c r="F135" s="5" t="s">
        <v>20</v>
      </c>
      <c r="G135" s="5">
        <f>VLOOKUP(F135,Lookup!$A$8:$B$12,2,0)</f>
        <v>5</v>
      </c>
      <c r="H135" s="5" t="s">
        <v>507</v>
      </c>
      <c r="I135" s="5">
        <v>1</v>
      </c>
      <c r="J135" s="5">
        <f>VLOOKUP(I135,Lookup!$A$15:$B$18,2,0)</f>
        <v>1</v>
      </c>
      <c r="K135" s="5" t="s">
        <v>37</v>
      </c>
      <c r="L135" s="5">
        <f>VLOOKUP(K135,Lookup!$D$21:$E$24,2,0)</f>
        <v>2</v>
      </c>
      <c r="M135" s="6">
        <f t="shared" si="67"/>
        <v>1.6</v>
      </c>
      <c r="N135" s="5">
        <f>VLOOKUP(K135,Lookup!$A$21:$B$24,2,0)</f>
        <v>5</v>
      </c>
      <c r="O135" s="5" t="s">
        <v>116</v>
      </c>
      <c r="P135" s="5" t="s">
        <v>45</v>
      </c>
      <c r="Q135" s="5">
        <f>VLOOKUP(P135,Lookup!$A$27:$B$31,2,0)</f>
        <v>1</v>
      </c>
      <c r="R135" s="6">
        <f t="shared" si="68"/>
        <v>12</v>
      </c>
      <c r="V135" s="6">
        <f t="shared" si="69"/>
        <v>10</v>
      </c>
      <c r="W135" s="6">
        <v>150</v>
      </c>
      <c r="X135" s="18" t="s">
        <v>484</v>
      </c>
      <c r="Z135" s="33">
        <f t="shared" si="66"/>
        <v>1.6</v>
      </c>
      <c r="AA135" s="33">
        <v>0</v>
      </c>
      <c r="AB135" s="33">
        <f t="shared" si="70"/>
        <v>0.48</v>
      </c>
      <c r="AC135" s="33">
        <f t="shared" si="71"/>
        <v>0</v>
      </c>
      <c r="AD135" s="33">
        <f t="shared" si="72"/>
        <v>0.48</v>
      </c>
      <c r="AE135" s="33">
        <f t="shared" si="73"/>
        <v>0</v>
      </c>
      <c r="AF135" s="33">
        <f t="shared" si="74"/>
        <v>0.17920000000000003</v>
      </c>
      <c r="AG135" s="34">
        <f t="shared" si="75"/>
        <v>1767.896799999997</v>
      </c>
      <c r="AH135" s="40">
        <f t="shared" si="76"/>
        <v>242.3000000000001</v>
      </c>
      <c r="AI135" s="40">
        <f t="shared" si="77"/>
        <v>7</v>
      </c>
      <c r="AJ135" s="40">
        <f t="shared" si="78"/>
        <v>11</v>
      </c>
      <c r="AK135" s="40">
        <f t="shared" si="79"/>
        <v>7</v>
      </c>
      <c r="AL135" s="40">
        <f t="shared" si="80"/>
        <v>11</v>
      </c>
    </row>
    <row r="136" spans="1:38" x14ac:dyDescent="0.25">
      <c r="A136" s="5">
        <v>36</v>
      </c>
      <c r="B136" s="5" t="s">
        <v>202</v>
      </c>
      <c r="C136" s="5" t="s">
        <v>508</v>
      </c>
      <c r="D136" s="5" t="s">
        <v>18</v>
      </c>
      <c r="E136" s="6">
        <v>1</v>
      </c>
      <c r="F136" s="5" t="s">
        <v>28</v>
      </c>
      <c r="G136" s="5">
        <f>VLOOKUP(F136,Lookup!$A$8:$B$12,2,0)</f>
        <v>0</v>
      </c>
      <c r="I136" s="5">
        <v>1</v>
      </c>
      <c r="J136" s="5">
        <f>VLOOKUP(I136,Lookup!$A$15:$B$18,2,0)</f>
        <v>1</v>
      </c>
      <c r="K136" s="5" t="s">
        <v>37</v>
      </c>
      <c r="L136" s="5">
        <f>VLOOKUP(K136,Lookup!$D$21:$E$24,2,0)</f>
        <v>2</v>
      </c>
      <c r="M136" s="6">
        <f t="shared" si="67"/>
        <v>2</v>
      </c>
      <c r="N136" s="5">
        <f>VLOOKUP(K136,Lookup!$A$21:$B$24,2,0)</f>
        <v>5</v>
      </c>
      <c r="O136" s="5" t="s">
        <v>211</v>
      </c>
      <c r="P136" s="5" t="s">
        <v>43</v>
      </c>
      <c r="Q136" s="5">
        <f>VLOOKUP(P136,Lookup!$A$27:$B$31,2,0)</f>
        <v>3</v>
      </c>
      <c r="R136" s="6">
        <f t="shared" si="68"/>
        <v>9</v>
      </c>
      <c r="S136" s="6">
        <f>1222*0.1</f>
        <v>122.2</v>
      </c>
      <c r="U136" s="6">
        <f>T136+S136</f>
        <v>122.2</v>
      </c>
      <c r="V136" s="6">
        <f t="shared" si="69"/>
        <v>61.1</v>
      </c>
      <c r="W136" s="6">
        <v>150</v>
      </c>
      <c r="X136" s="18" t="s">
        <v>427</v>
      </c>
      <c r="Z136" s="33">
        <f t="shared" si="66"/>
        <v>2</v>
      </c>
      <c r="AA136" s="33">
        <v>0</v>
      </c>
      <c r="AB136" s="33">
        <f t="shared" si="70"/>
        <v>0.6</v>
      </c>
      <c r="AC136" s="33">
        <f t="shared" si="71"/>
        <v>0</v>
      </c>
      <c r="AD136" s="33">
        <f t="shared" si="72"/>
        <v>0.6</v>
      </c>
      <c r="AE136" s="33">
        <f t="shared" si="73"/>
        <v>0</v>
      </c>
      <c r="AF136" s="33">
        <f t="shared" si="74"/>
        <v>0.22400000000000003</v>
      </c>
      <c r="AG136" s="34">
        <f t="shared" si="75"/>
        <v>1771.320799999997</v>
      </c>
      <c r="AH136" s="40">
        <f t="shared" si="76"/>
        <v>243.3000000000001</v>
      </c>
      <c r="AI136" s="40">
        <f t="shared" si="77"/>
        <v>9</v>
      </c>
      <c r="AJ136" s="40">
        <f t="shared" si="78"/>
        <v>8</v>
      </c>
      <c r="AK136" s="40">
        <f t="shared" si="79"/>
        <v>4</v>
      </c>
      <c r="AL136" s="40">
        <f t="shared" si="80"/>
        <v>6</v>
      </c>
    </row>
    <row r="137" spans="1:38" x14ac:dyDescent="0.25">
      <c r="A137" s="29">
        <v>37</v>
      </c>
      <c r="B137" s="5" t="s">
        <v>202</v>
      </c>
      <c r="C137" s="5" t="s">
        <v>509</v>
      </c>
      <c r="D137" s="5" t="s">
        <v>18</v>
      </c>
      <c r="E137" s="6">
        <v>1.8</v>
      </c>
      <c r="F137" s="5" t="s">
        <v>28</v>
      </c>
      <c r="G137" s="5">
        <f>VLOOKUP(F137,Lookup!$A$8:$B$12,2,0)</f>
        <v>0</v>
      </c>
      <c r="I137" s="5">
        <v>1</v>
      </c>
      <c r="J137" s="5">
        <f>VLOOKUP(I137,Lookup!$A$15:$B$18,2,0)</f>
        <v>1</v>
      </c>
      <c r="K137" s="5" t="s">
        <v>37</v>
      </c>
      <c r="L137" s="5">
        <f>VLOOKUP(K137,Lookup!$D$21:$E$24,2,0)</f>
        <v>2</v>
      </c>
      <c r="M137" s="6">
        <f t="shared" si="67"/>
        <v>3.6</v>
      </c>
      <c r="N137" s="5">
        <f>VLOOKUP(K137,Lookup!$A$21:$B$24,2,0)</f>
        <v>5</v>
      </c>
      <c r="O137" s="5" t="s">
        <v>116</v>
      </c>
      <c r="P137" s="5" t="s">
        <v>43</v>
      </c>
      <c r="Q137" s="5">
        <f>VLOOKUP(P137,Lookup!$A$27:$B$31,2,0)</f>
        <v>3</v>
      </c>
      <c r="R137" s="6">
        <f t="shared" si="68"/>
        <v>9</v>
      </c>
      <c r="S137" s="6">
        <f>1222*0.1</f>
        <v>122.2</v>
      </c>
      <c r="U137" s="6">
        <f>T137+S137</f>
        <v>122.2</v>
      </c>
      <c r="V137" s="6">
        <f t="shared" si="69"/>
        <v>61.1</v>
      </c>
      <c r="W137" s="6">
        <v>150</v>
      </c>
      <c r="X137" s="18" t="s">
        <v>427</v>
      </c>
      <c r="Z137" s="33">
        <f t="shared" si="66"/>
        <v>3.6</v>
      </c>
      <c r="AA137" s="33">
        <v>0</v>
      </c>
      <c r="AB137" s="33">
        <f t="shared" si="70"/>
        <v>1.08</v>
      </c>
      <c r="AC137" s="33">
        <f t="shared" si="71"/>
        <v>0</v>
      </c>
      <c r="AD137" s="33">
        <f t="shared" si="72"/>
        <v>1.08</v>
      </c>
      <c r="AE137" s="33">
        <f t="shared" si="73"/>
        <v>0</v>
      </c>
      <c r="AF137" s="33">
        <f t="shared" si="74"/>
        <v>0.4032</v>
      </c>
      <c r="AG137" s="34">
        <f t="shared" si="75"/>
        <v>1777.483999999997</v>
      </c>
      <c r="AH137" s="40">
        <f t="shared" si="76"/>
        <v>245.10000000000011</v>
      </c>
      <c r="AI137" s="40">
        <f t="shared" si="77"/>
        <v>9</v>
      </c>
      <c r="AJ137" s="40">
        <f t="shared" si="78"/>
        <v>8</v>
      </c>
      <c r="AK137" s="40">
        <f t="shared" si="79"/>
        <v>4</v>
      </c>
      <c r="AL137" s="40">
        <f t="shared" si="80"/>
        <v>6</v>
      </c>
    </row>
    <row r="138" spans="1:38" x14ac:dyDescent="0.25">
      <c r="A138" s="29">
        <v>38</v>
      </c>
      <c r="B138" s="5" t="s">
        <v>146</v>
      </c>
      <c r="C138" s="5" t="s">
        <v>510</v>
      </c>
      <c r="D138" s="5" t="s">
        <v>17</v>
      </c>
      <c r="E138" s="6">
        <v>0.5</v>
      </c>
      <c r="F138" s="5" t="s">
        <v>24</v>
      </c>
      <c r="G138" s="5">
        <f>VLOOKUP(F138,Lookup!$A$8:$B$12,2,0)</f>
        <v>4</v>
      </c>
      <c r="H138" s="5" t="s">
        <v>511</v>
      </c>
      <c r="I138" s="5">
        <v>1</v>
      </c>
      <c r="J138" s="5">
        <f>VLOOKUP(I138,Lookup!$A$15:$B$18,2,0)</f>
        <v>1</v>
      </c>
      <c r="K138" s="5" t="s">
        <v>35</v>
      </c>
      <c r="L138" s="5">
        <f>VLOOKUP(K138,Lookup!$D$21:$E$24,2,0)</f>
        <v>5</v>
      </c>
      <c r="M138" s="6">
        <f t="shared" si="67"/>
        <v>2.5</v>
      </c>
      <c r="N138" s="5">
        <f>VLOOKUP(K138,Lookup!$A$21:$B$24,2,0)</f>
        <v>3</v>
      </c>
      <c r="O138" s="5" t="s">
        <v>512</v>
      </c>
      <c r="P138" s="5" t="s">
        <v>40</v>
      </c>
      <c r="Q138" s="5">
        <f>VLOOKUP(P138,Lookup!$A$27:$B$31,2,0)</f>
        <v>5</v>
      </c>
      <c r="R138" s="6">
        <f t="shared" si="68"/>
        <v>13</v>
      </c>
      <c r="T138" s="6">
        <v>880</v>
      </c>
      <c r="U138" s="6">
        <f>T138+S138</f>
        <v>880</v>
      </c>
      <c r="V138" s="6">
        <f t="shared" si="69"/>
        <v>176</v>
      </c>
      <c r="W138" s="6">
        <v>150</v>
      </c>
      <c r="X138" s="18" t="s">
        <v>513</v>
      </c>
      <c r="Z138" s="33">
        <f t="shared" si="66"/>
        <v>2.5</v>
      </c>
      <c r="AA138" s="33">
        <v>0</v>
      </c>
      <c r="AB138" s="33">
        <f t="shared" si="70"/>
        <v>0.75</v>
      </c>
      <c r="AC138" s="33">
        <f t="shared" si="71"/>
        <v>0</v>
      </c>
      <c r="AD138" s="33">
        <f t="shared" si="72"/>
        <v>0.75</v>
      </c>
      <c r="AE138" s="33">
        <f t="shared" si="73"/>
        <v>0</v>
      </c>
      <c r="AF138" s="33">
        <f t="shared" si="74"/>
        <v>0.28000000000000003</v>
      </c>
      <c r="AG138" s="34">
        <f t="shared" si="75"/>
        <v>1781.7639999999969</v>
      </c>
      <c r="AH138" s="40">
        <f t="shared" si="76"/>
        <v>245.60000000000011</v>
      </c>
      <c r="AI138" s="40">
        <f t="shared" si="77"/>
        <v>9</v>
      </c>
      <c r="AJ138" s="40">
        <f t="shared" si="78"/>
        <v>12</v>
      </c>
      <c r="AK138" s="40">
        <f t="shared" si="79"/>
        <v>10</v>
      </c>
      <c r="AL138" s="40">
        <f t="shared" si="80"/>
        <v>8</v>
      </c>
    </row>
    <row r="139" spans="1:38" x14ac:dyDescent="0.25">
      <c r="A139" s="29">
        <v>46</v>
      </c>
      <c r="B139" s="5" t="s">
        <v>124</v>
      </c>
      <c r="C139" s="5" t="s">
        <v>514</v>
      </c>
      <c r="D139" s="5" t="s">
        <v>17</v>
      </c>
      <c r="E139" s="6">
        <v>3.8</v>
      </c>
      <c r="F139" s="5" t="s">
        <v>28</v>
      </c>
      <c r="G139" s="5">
        <f>VLOOKUP(F139,Lookup!$A$8:$B$12,2,0)</f>
        <v>0</v>
      </c>
      <c r="I139" s="5">
        <v>2</v>
      </c>
      <c r="J139" s="5">
        <f>VLOOKUP(I139,Lookup!$A$15:$B$18,2,0)</f>
        <v>3</v>
      </c>
      <c r="K139" s="5" t="s">
        <v>35</v>
      </c>
      <c r="L139" s="5">
        <f>VLOOKUP(K139,Lookup!$D$21:$E$24,2,0)</f>
        <v>5</v>
      </c>
      <c r="M139" s="6">
        <f t="shared" si="67"/>
        <v>19</v>
      </c>
      <c r="N139" s="5">
        <f>VLOOKUP(K139,Lookup!$A$21:$B$24,2,0)</f>
        <v>3</v>
      </c>
      <c r="O139" s="5" t="s">
        <v>515</v>
      </c>
      <c r="P139" s="5" t="s">
        <v>45</v>
      </c>
      <c r="Q139" s="5">
        <f>VLOOKUP(P139,Lookup!$A$27:$B$31,2,0)</f>
        <v>1</v>
      </c>
      <c r="R139" s="6">
        <f t="shared" si="68"/>
        <v>7</v>
      </c>
      <c r="T139" s="6">
        <v>191</v>
      </c>
      <c r="U139" s="6">
        <f>T139+S139</f>
        <v>191</v>
      </c>
      <c r="V139" s="6">
        <f t="shared" si="69"/>
        <v>38.199999999999996</v>
      </c>
      <c r="W139" s="6">
        <v>150</v>
      </c>
      <c r="X139" s="18" t="s">
        <v>427</v>
      </c>
      <c r="Y139" s="5" t="s">
        <v>128</v>
      </c>
      <c r="Z139" s="33">
        <f t="shared" si="66"/>
        <v>19</v>
      </c>
      <c r="AA139" s="33">
        <v>0</v>
      </c>
      <c r="AB139" s="33">
        <f t="shared" si="70"/>
        <v>5.7</v>
      </c>
      <c r="AC139" s="33">
        <f t="shared" si="71"/>
        <v>0</v>
      </c>
      <c r="AD139" s="33">
        <f t="shared" si="72"/>
        <v>5.7</v>
      </c>
      <c r="AE139" s="33">
        <f t="shared" si="73"/>
        <v>0</v>
      </c>
      <c r="AF139" s="33">
        <f t="shared" si="74"/>
        <v>2.1280000000000001</v>
      </c>
      <c r="AG139" s="34">
        <f t="shared" si="75"/>
        <v>1814.291999999997</v>
      </c>
      <c r="AH139" s="40">
        <f t="shared" si="76"/>
        <v>249.40000000000012</v>
      </c>
      <c r="AI139" s="40">
        <f t="shared" si="77"/>
        <v>7</v>
      </c>
      <c r="AJ139" s="40">
        <f t="shared" si="78"/>
        <v>4</v>
      </c>
      <c r="AK139" s="40">
        <f t="shared" si="79"/>
        <v>4</v>
      </c>
      <c r="AL139" s="40">
        <f t="shared" si="80"/>
        <v>6</v>
      </c>
    </row>
    <row r="140" spans="1:38" x14ac:dyDescent="0.25">
      <c r="A140" s="29">
        <v>50</v>
      </c>
      <c r="B140" s="5" t="s">
        <v>124</v>
      </c>
      <c r="C140" s="5" t="s">
        <v>516</v>
      </c>
      <c r="D140" s="5" t="s">
        <v>17</v>
      </c>
      <c r="E140" s="6">
        <v>4</v>
      </c>
      <c r="F140" s="5" t="s">
        <v>22</v>
      </c>
      <c r="G140" s="5">
        <f>VLOOKUP(F140,Lookup!$A$8:$B$12,2,0)</f>
        <v>3</v>
      </c>
      <c r="H140" s="5" t="s">
        <v>517</v>
      </c>
      <c r="I140" s="5">
        <v>1</v>
      </c>
      <c r="J140" s="5">
        <f>VLOOKUP(I140,Lookup!$A$15:$B$18,2,0)</f>
        <v>1</v>
      </c>
      <c r="K140" s="5" t="s">
        <v>35</v>
      </c>
      <c r="L140" s="5">
        <f>VLOOKUP(K140,Lookup!$D$21:$E$24,2,0)</f>
        <v>5</v>
      </c>
      <c r="M140" s="6">
        <f t="shared" si="67"/>
        <v>20</v>
      </c>
      <c r="N140" s="5">
        <f>VLOOKUP(K140,Lookup!$A$21:$B$24,2,0)</f>
        <v>3</v>
      </c>
      <c r="O140" s="5" t="s">
        <v>515</v>
      </c>
      <c r="P140" s="5" t="s">
        <v>45</v>
      </c>
      <c r="Q140" s="5">
        <f>VLOOKUP(P140,Lookup!$A$27:$B$31,2,0)</f>
        <v>1</v>
      </c>
      <c r="R140" s="6">
        <f t="shared" si="68"/>
        <v>8</v>
      </c>
      <c r="V140" s="6">
        <f t="shared" si="69"/>
        <v>4</v>
      </c>
      <c r="W140" s="6">
        <v>150</v>
      </c>
      <c r="X140" s="18" t="s">
        <v>427</v>
      </c>
      <c r="Y140" s="5" t="s">
        <v>128</v>
      </c>
      <c r="Z140" s="33">
        <f t="shared" si="66"/>
        <v>20</v>
      </c>
      <c r="AA140" s="33">
        <v>0</v>
      </c>
      <c r="AB140" s="33">
        <f t="shared" si="70"/>
        <v>6</v>
      </c>
      <c r="AC140" s="33">
        <f t="shared" si="71"/>
        <v>0</v>
      </c>
      <c r="AD140" s="33">
        <f t="shared" si="72"/>
        <v>6</v>
      </c>
      <c r="AE140" s="33">
        <f t="shared" si="73"/>
        <v>0</v>
      </c>
      <c r="AF140" s="33">
        <f t="shared" si="74"/>
        <v>2.2400000000000002</v>
      </c>
      <c r="AG140" s="34">
        <f t="shared" si="75"/>
        <v>1848.531999999997</v>
      </c>
      <c r="AH140" s="40">
        <f t="shared" si="76"/>
        <v>253.40000000000012</v>
      </c>
      <c r="AI140" s="40">
        <f t="shared" si="77"/>
        <v>5</v>
      </c>
      <c r="AJ140" s="40">
        <f t="shared" si="78"/>
        <v>7</v>
      </c>
      <c r="AK140" s="40">
        <f t="shared" si="79"/>
        <v>5</v>
      </c>
      <c r="AL140" s="40">
        <f t="shared" si="80"/>
        <v>7</v>
      </c>
    </row>
    <row r="141" spans="1:38" x14ac:dyDescent="0.25">
      <c r="A141" s="5">
        <v>51</v>
      </c>
      <c r="B141" s="5" t="s">
        <v>124</v>
      </c>
      <c r="C141" s="5" t="s">
        <v>518</v>
      </c>
      <c r="D141" s="5" t="s">
        <v>17</v>
      </c>
      <c r="E141" s="6">
        <v>2.4</v>
      </c>
      <c r="F141" s="5" t="s">
        <v>24</v>
      </c>
      <c r="G141" s="5">
        <f>VLOOKUP(F141,Lookup!$A$8:$B$12,2,0)</f>
        <v>4</v>
      </c>
      <c r="H141" s="5" t="s">
        <v>519</v>
      </c>
      <c r="I141" s="5">
        <v>2</v>
      </c>
      <c r="J141" s="5">
        <f>VLOOKUP(I141,Lookup!$A$15:$B$18,2,0)</f>
        <v>3</v>
      </c>
      <c r="K141" s="5" t="s">
        <v>37</v>
      </c>
      <c r="L141" s="5">
        <f>VLOOKUP(K141,Lookup!$D$21:$E$24,2,0)</f>
        <v>2</v>
      </c>
      <c r="M141" s="6">
        <f t="shared" si="67"/>
        <v>4.8</v>
      </c>
      <c r="N141" s="5">
        <f>VLOOKUP(K141,Lookup!$A$21:$B$24,2,0)</f>
        <v>5</v>
      </c>
      <c r="O141" s="5" t="s">
        <v>520</v>
      </c>
      <c r="P141" s="5" t="s">
        <v>45</v>
      </c>
      <c r="Q141" s="5">
        <f>VLOOKUP(P141,Lookup!$A$27:$B$31,2,0)</f>
        <v>1</v>
      </c>
      <c r="R141" s="6">
        <f t="shared" si="68"/>
        <v>13</v>
      </c>
      <c r="V141" s="6">
        <f t="shared" si="69"/>
        <v>10</v>
      </c>
      <c r="W141" s="6">
        <v>150</v>
      </c>
      <c r="X141" s="18" t="s">
        <v>216</v>
      </c>
      <c r="Y141" s="5" t="s">
        <v>128</v>
      </c>
      <c r="Z141" s="33">
        <f t="shared" si="66"/>
        <v>4.8</v>
      </c>
      <c r="AA141" s="33">
        <v>0</v>
      </c>
      <c r="AB141" s="33">
        <f t="shared" si="70"/>
        <v>1.44</v>
      </c>
      <c r="AC141" s="33">
        <f t="shared" si="71"/>
        <v>0</v>
      </c>
      <c r="AD141" s="33">
        <f t="shared" si="72"/>
        <v>1.44</v>
      </c>
      <c r="AE141" s="33">
        <f t="shared" si="73"/>
        <v>0</v>
      </c>
      <c r="AF141" s="33">
        <f t="shared" si="74"/>
        <v>0.53760000000000008</v>
      </c>
      <c r="AG141" s="34">
        <f t="shared" si="75"/>
        <v>1856.7495999999969</v>
      </c>
      <c r="AH141" s="40">
        <f t="shared" si="76"/>
        <v>255.80000000000013</v>
      </c>
      <c r="AI141" s="40">
        <f t="shared" si="77"/>
        <v>9</v>
      </c>
      <c r="AJ141" s="40">
        <f t="shared" si="78"/>
        <v>10</v>
      </c>
      <c r="AK141" s="40">
        <f t="shared" si="79"/>
        <v>8</v>
      </c>
      <c r="AL141" s="40">
        <f t="shared" si="80"/>
        <v>12</v>
      </c>
    </row>
    <row r="142" spans="1:38" x14ac:dyDescent="0.25">
      <c r="A142" s="29">
        <v>52</v>
      </c>
      <c r="B142" s="5" t="s">
        <v>124</v>
      </c>
      <c r="C142" s="5" t="s">
        <v>521</v>
      </c>
      <c r="D142" s="5" t="s">
        <v>17</v>
      </c>
      <c r="E142" s="6">
        <v>2.2999999999999998</v>
      </c>
      <c r="F142" s="5" t="s">
        <v>28</v>
      </c>
      <c r="G142" s="5">
        <f>VLOOKUP(F142,Lookup!$A$8:$B$12,2,0)</f>
        <v>0</v>
      </c>
      <c r="I142" s="5">
        <v>1</v>
      </c>
      <c r="J142" s="5">
        <f>VLOOKUP(I142,Lookup!$A$15:$B$18,2,0)</f>
        <v>1</v>
      </c>
      <c r="K142" s="5" t="s">
        <v>35</v>
      </c>
      <c r="L142" s="5">
        <f>VLOOKUP(K142,Lookup!$D$21:$E$24,2,0)</f>
        <v>5</v>
      </c>
      <c r="M142" s="6">
        <f t="shared" si="67"/>
        <v>11.5</v>
      </c>
      <c r="N142" s="5">
        <f>VLOOKUP(K142,Lookup!$A$21:$B$24,2,0)</f>
        <v>3</v>
      </c>
      <c r="O142" s="5" t="s">
        <v>515</v>
      </c>
      <c r="P142" s="5" t="s">
        <v>45</v>
      </c>
      <c r="Q142" s="5">
        <f>VLOOKUP(P142,Lookup!$A$27:$B$31,2,0)</f>
        <v>1</v>
      </c>
      <c r="R142" s="6">
        <f t="shared" si="68"/>
        <v>5</v>
      </c>
      <c r="T142" s="6">
        <v>262</v>
      </c>
      <c r="U142" s="6">
        <f t="shared" ref="U142:U156" si="81">T142+S142</f>
        <v>262</v>
      </c>
      <c r="V142" s="6">
        <f t="shared" si="69"/>
        <v>52.399999999999991</v>
      </c>
      <c r="W142" s="6">
        <v>150</v>
      </c>
      <c r="X142" s="18" t="s">
        <v>427</v>
      </c>
      <c r="Y142" s="5" t="s">
        <v>128</v>
      </c>
      <c r="Z142" s="33">
        <f t="shared" si="66"/>
        <v>11.5</v>
      </c>
      <c r="AA142" s="33">
        <v>0</v>
      </c>
      <c r="AB142" s="33">
        <f t="shared" si="70"/>
        <v>3.4499999999999997</v>
      </c>
      <c r="AC142" s="33">
        <f t="shared" si="71"/>
        <v>0</v>
      </c>
      <c r="AD142" s="33">
        <f t="shared" si="72"/>
        <v>3.4499999999999997</v>
      </c>
      <c r="AE142" s="33">
        <f t="shared" si="73"/>
        <v>0</v>
      </c>
      <c r="AF142" s="33">
        <f t="shared" si="74"/>
        <v>1.288</v>
      </c>
      <c r="AG142" s="34">
        <f t="shared" si="75"/>
        <v>1876.437599999997</v>
      </c>
      <c r="AH142" s="40">
        <f t="shared" si="76"/>
        <v>258.10000000000014</v>
      </c>
      <c r="AI142" s="40">
        <f t="shared" si="77"/>
        <v>5</v>
      </c>
      <c r="AJ142" s="40">
        <f t="shared" si="78"/>
        <v>4</v>
      </c>
      <c r="AK142" s="40">
        <f t="shared" si="79"/>
        <v>2</v>
      </c>
      <c r="AL142" s="40">
        <f t="shared" si="80"/>
        <v>4</v>
      </c>
    </row>
    <row r="143" spans="1:38" x14ac:dyDescent="0.25">
      <c r="A143" s="29">
        <v>59</v>
      </c>
      <c r="B143" s="5" t="s">
        <v>82</v>
      </c>
      <c r="C143" s="5" t="s">
        <v>522</v>
      </c>
      <c r="D143" s="5" t="s">
        <v>17</v>
      </c>
      <c r="E143" s="6">
        <v>1</v>
      </c>
      <c r="F143" s="5" t="s">
        <v>28</v>
      </c>
      <c r="G143" s="5">
        <f>VLOOKUP(F143,Lookup!$A$8:$B$12,2,0)</f>
        <v>0</v>
      </c>
      <c r="I143" s="5">
        <v>1</v>
      </c>
      <c r="J143" s="5">
        <f>VLOOKUP(I143,Lookup!$A$15:$B$18,2,0)</f>
        <v>1</v>
      </c>
      <c r="K143" s="5" t="s">
        <v>37</v>
      </c>
      <c r="L143" s="5">
        <f>VLOOKUP(K143,Lookup!$D$21:$E$24,2,0)</f>
        <v>2</v>
      </c>
      <c r="M143" s="6">
        <f t="shared" si="67"/>
        <v>2</v>
      </c>
      <c r="N143" s="5">
        <f>VLOOKUP(K143,Lookup!$A$21:$B$24,2,0)</f>
        <v>5</v>
      </c>
      <c r="O143" s="5" t="s">
        <v>523</v>
      </c>
      <c r="P143" s="5" t="s">
        <v>44</v>
      </c>
      <c r="Q143" s="5">
        <f>VLOOKUP(P143,Lookup!$A$27:$B$31,2,0)</f>
        <v>2</v>
      </c>
      <c r="R143" s="6">
        <f t="shared" si="68"/>
        <v>8</v>
      </c>
      <c r="T143" s="6">
        <v>150</v>
      </c>
      <c r="U143" s="6">
        <f t="shared" si="81"/>
        <v>150</v>
      </c>
      <c r="V143" s="6">
        <f t="shared" si="69"/>
        <v>75</v>
      </c>
      <c r="W143" s="6">
        <v>150</v>
      </c>
      <c r="X143" s="18" t="s">
        <v>461</v>
      </c>
      <c r="Z143" s="33">
        <f t="shared" si="66"/>
        <v>2</v>
      </c>
      <c r="AA143" s="33">
        <v>0</v>
      </c>
      <c r="AB143" s="33">
        <f t="shared" si="70"/>
        <v>0.6</v>
      </c>
      <c r="AC143" s="33">
        <f t="shared" si="71"/>
        <v>0</v>
      </c>
      <c r="AD143" s="33">
        <f t="shared" si="72"/>
        <v>0.6</v>
      </c>
      <c r="AE143" s="33">
        <f t="shared" si="73"/>
        <v>0</v>
      </c>
      <c r="AF143" s="33">
        <f t="shared" si="74"/>
        <v>0.22400000000000003</v>
      </c>
      <c r="AG143" s="34">
        <f t="shared" si="75"/>
        <v>1879.861599999997</v>
      </c>
      <c r="AH143" s="40">
        <f t="shared" si="76"/>
        <v>259.10000000000014</v>
      </c>
      <c r="AI143" s="40">
        <f t="shared" si="77"/>
        <v>8</v>
      </c>
      <c r="AJ143" s="40">
        <f t="shared" si="78"/>
        <v>7</v>
      </c>
      <c r="AK143" s="40">
        <f t="shared" si="79"/>
        <v>3</v>
      </c>
      <c r="AL143" s="40">
        <f t="shared" si="80"/>
        <v>6</v>
      </c>
    </row>
    <row r="144" spans="1:38" x14ac:dyDescent="0.25">
      <c r="A144" s="29">
        <v>67</v>
      </c>
      <c r="B144" s="5" t="s">
        <v>132</v>
      </c>
      <c r="C144" s="5" t="s">
        <v>524</v>
      </c>
      <c r="D144" s="5" t="s">
        <v>17</v>
      </c>
      <c r="E144" s="6">
        <v>1</v>
      </c>
      <c r="F144" s="5" t="s">
        <v>28</v>
      </c>
      <c r="G144" s="5">
        <f>VLOOKUP(F144,Lookup!$A$8:$B$12,2,0)</f>
        <v>0</v>
      </c>
      <c r="I144" s="5">
        <v>2</v>
      </c>
      <c r="J144" s="5">
        <f>VLOOKUP(I144,Lookup!$A$15:$B$18,2,0)</f>
        <v>3</v>
      </c>
      <c r="K144" s="5" t="s">
        <v>37</v>
      </c>
      <c r="L144" s="5">
        <f>VLOOKUP(K144,Lookup!$D$21:$E$24,2,0)</f>
        <v>2</v>
      </c>
      <c r="M144" s="6">
        <f t="shared" si="67"/>
        <v>2</v>
      </c>
      <c r="N144" s="5">
        <f>VLOOKUP(K144,Lookup!$A$21:$B$24,2,0)</f>
        <v>5</v>
      </c>
      <c r="O144" s="5" t="s">
        <v>116</v>
      </c>
      <c r="P144" s="5" t="s">
        <v>45</v>
      </c>
      <c r="Q144" s="5">
        <f>VLOOKUP(P144,Lookup!$A$27:$B$31,2,0)</f>
        <v>1</v>
      </c>
      <c r="R144" s="6">
        <f t="shared" si="68"/>
        <v>9</v>
      </c>
      <c r="T144" s="6">
        <v>310</v>
      </c>
      <c r="U144" s="6">
        <f t="shared" si="81"/>
        <v>310</v>
      </c>
      <c r="V144" s="6">
        <f t="shared" si="69"/>
        <v>155</v>
      </c>
      <c r="W144" s="6">
        <v>150</v>
      </c>
      <c r="X144" s="18" t="s">
        <v>461</v>
      </c>
      <c r="Z144" s="33">
        <f t="shared" si="66"/>
        <v>2</v>
      </c>
      <c r="AA144" s="33">
        <v>0</v>
      </c>
      <c r="AB144" s="33">
        <f t="shared" si="70"/>
        <v>0.6</v>
      </c>
      <c r="AC144" s="33">
        <f t="shared" si="71"/>
        <v>0</v>
      </c>
      <c r="AD144" s="33">
        <f t="shared" si="72"/>
        <v>0.6</v>
      </c>
      <c r="AE144" s="33">
        <f t="shared" si="73"/>
        <v>0</v>
      </c>
      <c r="AF144" s="33">
        <f t="shared" si="74"/>
        <v>0.22400000000000003</v>
      </c>
      <c r="AG144" s="34">
        <f t="shared" si="75"/>
        <v>1883.285599999997</v>
      </c>
      <c r="AH144" s="40">
        <f t="shared" si="76"/>
        <v>260.10000000000014</v>
      </c>
      <c r="AI144" s="40">
        <f t="shared" si="77"/>
        <v>9</v>
      </c>
      <c r="AJ144" s="40">
        <f t="shared" si="78"/>
        <v>6</v>
      </c>
      <c r="AK144" s="40">
        <f t="shared" si="79"/>
        <v>4</v>
      </c>
      <c r="AL144" s="40">
        <f t="shared" si="80"/>
        <v>8</v>
      </c>
    </row>
    <row r="145" spans="1:38" x14ac:dyDescent="0.25">
      <c r="A145" s="5">
        <v>72</v>
      </c>
      <c r="B145" s="5" t="s">
        <v>142</v>
      </c>
      <c r="C145" s="5" t="s">
        <v>525</v>
      </c>
      <c r="D145" s="5" t="s">
        <v>18</v>
      </c>
      <c r="E145" s="6">
        <v>2.8</v>
      </c>
      <c r="F145" s="5" t="s">
        <v>26</v>
      </c>
      <c r="G145" s="5">
        <f>VLOOKUP(F145,Lookup!$A$8:$B$12,2,0)</f>
        <v>1</v>
      </c>
      <c r="H145" s="5" t="s">
        <v>280</v>
      </c>
      <c r="I145" s="5">
        <v>1</v>
      </c>
      <c r="J145" s="5">
        <f>VLOOKUP(I145,Lookup!$A$15:$B$18,2,0)</f>
        <v>1</v>
      </c>
      <c r="K145" s="5" t="s">
        <v>35</v>
      </c>
      <c r="L145" s="5">
        <f>VLOOKUP(K145,Lookup!$D$21:$E$24,2,0)</f>
        <v>5</v>
      </c>
      <c r="M145" s="6">
        <f t="shared" si="67"/>
        <v>14</v>
      </c>
      <c r="N145" s="5">
        <f>VLOOKUP(K145,Lookup!$A$21:$B$24,2,0)</f>
        <v>3</v>
      </c>
      <c r="O145" s="5" t="s">
        <v>526</v>
      </c>
      <c r="P145" s="5" t="s">
        <v>43</v>
      </c>
      <c r="Q145" s="5">
        <f>VLOOKUP(P145,Lookup!$A$27:$B$31,2,0)</f>
        <v>3</v>
      </c>
      <c r="R145" s="6">
        <f t="shared" si="68"/>
        <v>8</v>
      </c>
      <c r="S145" s="6">
        <f>361*0.1</f>
        <v>36.1</v>
      </c>
      <c r="T145" s="6">
        <v>128</v>
      </c>
      <c r="U145" s="6">
        <f t="shared" si="81"/>
        <v>164.1</v>
      </c>
      <c r="V145" s="6">
        <f t="shared" si="69"/>
        <v>32.82</v>
      </c>
      <c r="W145" s="6">
        <v>150</v>
      </c>
      <c r="X145" s="18" t="s">
        <v>427</v>
      </c>
      <c r="Z145" s="33">
        <f t="shared" ref="Z145:Z179" si="82">M145</f>
        <v>14</v>
      </c>
      <c r="AA145" s="33">
        <v>0</v>
      </c>
      <c r="AB145" s="33">
        <f t="shared" si="70"/>
        <v>4.2</v>
      </c>
      <c r="AC145" s="33">
        <f t="shared" si="71"/>
        <v>0</v>
      </c>
      <c r="AD145" s="33">
        <f t="shared" si="72"/>
        <v>4.2</v>
      </c>
      <c r="AE145" s="33">
        <f t="shared" si="73"/>
        <v>0</v>
      </c>
      <c r="AF145" s="33">
        <f t="shared" si="74"/>
        <v>1.5680000000000001</v>
      </c>
      <c r="AG145" s="34">
        <f t="shared" si="75"/>
        <v>1907.253599999997</v>
      </c>
      <c r="AH145" s="40">
        <f t="shared" si="76"/>
        <v>262.90000000000015</v>
      </c>
      <c r="AI145" s="40">
        <f t="shared" si="77"/>
        <v>7</v>
      </c>
      <c r="AJ145" s="40">
        <f t="shared" si="78"/>
        <v>7</v>
      </c>
      <c r="AK145" s="40">
        <f t="shared" si="79"/>
        <v>5</v>
      </c>
      <c r="AL145" s="40">
        <f t="shared" si="80"/>
        <v>5</v>
      </c>
    </row>
    <row r="146" spans="1:38" x14ac:dyDescent="0.25">
      <c r="A146" s="5">
        <v>75</v>
      </c>
      <c r="B146" s="5" t="s">
        <v>235</v>
      </c>
      <c r="C146" s="5" t="s">
        <v>527</v>
      </c>
      <c r="D146" s="5" t="s">
        <v>18</v>
      </c>
      <c r="E146" s="6">
        <v>1.5</v>
      </c>
      <c r="F146" s="5" t="s">
        <v>22</v>
      </c>
      <c r="G146" s="5">
        <f>VLOOKUP(F146,Lookup!$A$8:$B$12,2,0)</f>
        <v>3</v>
      </c>
      <c r="H146" s="5" t="s">
        <v>528</v>
      </c>
      <c r="I146" s="5">
        <v>1</v>
      </c>
      <c r="J146" s="5">
        <f>VLOOKUP(I146,Lookup!$A$15:$B$18,2,0)</f>
        <v>1</v>
      </c>
      <c r="K146" s="5" t="s">
        <v>37</v>
      </c>
      <c r="L146" s="5">
        <f>VLOOKUP(K146,Lookup!$D$21:$E$24,2,0)</f>
        <v>2</v>
      </c>
      <c r="M146" s="6">
        <f t="shared" si="67"/>
        <v>3</v>
      </c>
      <c r="N146" s="5">
        <f>VLOOKUP(K146,Lookup!$A$21:$B$24,2,0)</f>
        <v>5</v>
      </c>
      <c r="O146" s="5" t="s">
        <v>256</v>
      </c>
      <c r="P146" s="5" t="s">
        <v>45</v>
      </c>
      <c r="Q146" s="5">
        <f>VLOOKUP(P146,Lookup!$A$27:$B$31,2,0)</f>
        <v>1</v>
      </c>
      <c r="R146" s="6">
        <f t="shared" si="68"/>
        <v>10</v>
      </c>
      <c r="S146" s="6">
        <f>876*0.1</f>
        <v>87.600000000000009</v>
      </c>
      <c r="U146" s="6">
        <f t="shared" si="81"/>
        <v>87.600000000000009</v>
      </c>
      <c r="V146" s="6">
        <f t="shared" si="69"/>
        <v>43.800000000000004</v>
      </c>
      <c r="W146" s="6">
        <v>150</v>
      </c>
      <c r="X146" s="18" t="s">
        <v>427</v>
      </c>
      <c r="Z146" s="33">
        <f t="shared" si="82"/>
        <v>3</v>
      </c>
      <c r="AA146" s="33">
        <v>0</v>
      </c>
      <c r="AB146" s="33">
        <f t="shared" si="70"/>
        <v>0.89999999999999991</v>
      </c>
      <c r="AC146" s="33">
        <f t="shared" si="71"/>
        <v>0</v>
      </c>
      <c r="AD146" s="33">
        <f t="shared" si="72"/>
        <v>0.89999999999999991</v>
      </c>
      <c r="AE146" s="33">
        <f t="shared" si="73"/>
        <v>0</v>
      </c>
      <c r="AF146" s="33">
        <f t="shared" si="74"/>
        <v>0.33600000000000002</v>
      </c>
      <c r="AG146" s="34">
        <f t="shared" si="75"/>
        <v>1912.389599999997</v>
      </c>
      <c r="AH146" s="40">
        <f t="shared" si="76"/>
        <v>264.40000000000015</v>
      </c>
      <c r="AI146" s="40">
        <f t="shared" si="77"/>
        <v>7</v>
      </c>
      <c r="AJ146" s="40">
        <f t="shared" si="78"/>
        <v>9</v>
      </c>
      <c r="AK146" s="40">
        <f t="shared" si="79"/>
        <v>5</v>
      </c>
      <c r="AL146" s="40">
        <f t="shared" si="80"/>
        <v>9</v>
      </c>
    </row>
    <row r="147" spans="1:38" x14ac:dyDescent="0.25">
      <c r="A147" s="29">
        <v>106</v>
      </c>
      <c r="B147" s="5" t="s">
        <v>422</v>
      </c>
      <c r="C147" s="5" t="s">
        <v>529</v>
      </c>
      <c r="D147" s="5" t="s">
        <v>18</v>
      </c>
      <c r="E147" s="6">
        <v>1.3</v>
      </c>
      <c r="F147" s="5" t="s">
        <v>26</v>
      </c>
      <c r="G147" s="5">
        <f>VLOOKUP(F147,Lookup!$A$8:$B$12,2,0)</f>
        <v>1</v>
      </c>
      <c r="H147" s="5" t="s">
        <v>530</v>
      </c>
      <c r="I147" s="5">
        <v>1</v>
      </c>
      <c r="J147" s="5">
        <f>VLOOKUP(I147,Lookup!$A$15:$B$18,2,0)</f>
        <v>1</v>
      </c>
      <c r="K147" s="5" t="s">
        <v>37</v>
      </c>
      <c r="L147" s="5">
        <f>VLOOKUP(K147,Lookup!$D$21:$E$24,2,0)</f>
        <v>2</v>
      </c>
      <c r="M147" s="6">
        <f t="shared" si="67"/>
        <v>2.6</v>
      </c>
      <c r="N147" s="5">
        <f>VLOOKUP(K147,Lookup!$A$21:$B$24,2,0)</f>
        <v>5</v>
      </c>
      <c r="O147" s="5" t="s">
        <v>531</v>
      </c>
      <c r="P147" s="5" t="s">
        <v>43</v>
      </c>
      <c r="Q147" s="5">
        <f>VLOOKUP(P147,Lookup!$A$27:$B$31,2,0)</f>
        <v>3</v>
      </c>
      <c r="R147" s="6">
        <f t="shared" si="68"/>
        <v>10</v>
      </c>
      <c r="S147" s="6">
        <f>772*0.1</f>
        <v>77.2</v>
      </c>
      <c r="U147" s="6">
        <f t="shared" si="81"/>
        <v>77.2</v>
      </c>
      <c r="V147" s="6">
        <f t="shared" si="69"/>
        <v>38.6</v>
      </c>
      <c r="W147" s="6">
        <v>150</v>
      </c>
      <c r="X147" s="18" t="s">
        <v>427</v>
      </c>
      <c r="Z147" s="33">
        <f t="shared" si="82"/>
        <v>2.6</v>
      </c>
      <c r="AA147" s="33">
        <v>0</v>
      </c>
      <c r="AB147" s="33">
        <f t="shared" si="70"/>
        <v>0.78</v>
      </c>
      <c r="AC147" s="33">
        <f t="shared" si="71"/>
        <v>0</v>
      </c>
      <c r="AD147" s="33">
        <f t="shared" si="72"/>
        <v>0.78</v>
      </c>
      <c r="AE147" s="33">
        <f t="shared" si="73"/>
        <v>0</v>
      </c>
      <c r="AF147" s="33">
        <f t="shared" si="74"/>
        <v>0.29120000000000001</v>
      </c>
      <c r="AG147" s="34">
        <f t="shared" si="75"/>
        <v>1916.840799999997</v>
      </c>
      <c r="AH147" s="40">
        <f t="shared" si="76"/>
        <v>265.70000000000016</v>
      </c>
      <c r="AI147" s="40">
        <f t="shared" si="77"/>
        <v>9</v>
      </c>
      <c r="AJ147" s="40">
        <f t="shared" si="78"/>
        <v>9</v>
      </c>
      <c r="AK147" s="40">
        <f t="shared" si="79"/>
        <v>5</v>
      </c>
      <c r="AL147" s="40">
        <f t="shared" si="80"/>
        <v>7</v>
      </c>
    </row>
    <row r="148" spans="1:38" x14ac:dyDescent="0.25">
      <c r="A148" s="5">
        <v>132</v>
      </c>
      <c r="B148" s="5" t="s">
        <v>93</v>
      </c>
      <c r="C148" s="5" t="s">
        <v>532</v>
      </c>
      <c r="D148" s="5" t="s">
        <v>15</v>
      </c>
      <c r="E148" s="6">
        <v>0.7</v>
      </c>
      <c r="F148" s="5" t="s">
        <v>20</v>
      </c>
      <c r="G148" s="5">
        <f>VLOOKUP(F148,Lookup!$A$8:$B$12,2,0)</f>
        <v>5</v>
      </c>
      <c r="H148" s="5" t="s">
        <v>533</v>
      </c>
      <c r="I148" s="5">
        <v>1</v>
      </c>
      <c r="J148" s="5">
        <f>VLOOKUP(I148,Lookup!$A$15:$B$18,2,0)</f>
        <v>1</v>
      </c>
      <c r="K148" s="5" t="s">
        <v>33</v>
      </c>
      <c r="L148" s="5">
        <f>VLOOKUP(K148,Lookup!$D$21:$E$24,2,0)</f>
        <v>10</v>
      </c>
      <c r="M148" s="6">
        <f t="shared" si="67"/>
        <v>7</v>
      </c>
      <c r="N148" s="5">
        <f>VLOOKUP(K148,Lookup!$A$21:$B$24,2,0)</f>
        <v>2</v>
      </c>
      <c r="O148" s="5" t="s">
        <v>534</v>
      </c>
      <c r="P148" s="5" t="s">
        <v>44</v>
      </c>
      <c r="Q148" s="5">
        <f>VLOOKUP(P148,Lookup!$A$27:$B$31,2,0)</f>
        <v>2</v>
      </c>
      <c r="R148" s="6">
        <f t="shared" si="68"/>
        <v>10</v>
      </c>
      <c r="S148" s="6">
        <f>1158*0.08</f>
        <v>92.64</v>
      </c>
      <c r="T148" s="6">
        <v>26</v>
      </c>
      <c r="U148" s="6">
        <f t="shared" si="81"/>
        <v>118.64</v>
      </c>
      <c r="V148" s="6">
        <f t="shared" si="69"/>
        <v>11.864000000000001</v>
      </c>
      <c r="W148" s="6">
        <v>150</v>
      </c>
      <c r="X148" s="18" t="s">
        <v>427</v>
      </c>
      <c r="Y148" s="5" t="s">
        <v>535</v>
      </c>
      <c r="Z148" s="33">
        <f t="shared" si="82"/>
        <v>7</v>
      </c>
      <c r="AA148" s="33">
        <v>0</v>
      </c>
      <c r="AB148" s="33">
        <f t="shared" si="70"/>
        <v>2.1</v>
      </c>
      <c r="AC148" s="33">
        <f t="shared" si="71"/>
        <v>0</v>
      </c>
      <c r="AD148" s="33">
        <f t="shared" si="72"/>
        <v>2.1</v>
      </c>
      <c r="AE148" s="33">
        <f t="shared" si="73"/>
        <v>0</v>
      </c>
      <c r="AF148" s="33">
        <f t="shared" si="74"/>
        <v>0.78400000000000003</v>
      </c>
      <c r="AG148" s="34">
        <f t="shared" si="75"/>
        <v>1928.8247999999969</v>
      </c>
      <c r="AH148" s="40">
        <f t="shared" si="76"/>
        <v>266.40000000000015</v>
      </c>
      <c r="AI148" s="40">
        <f t="shared" si="77"/>
        <v>5</v>
      </c>
      <c r="AJ148" s="40">
        <f t="shared" si="78"/>
        <v>9</v>
      </c>
      <c r="AK148" s="40">
        <f t="shared" si="79"/>
        <v>8</v>
      </c>
      <c r="AL148" s="40">
        <f t="shared" si="80"/>
        <v>8</v>
      </c>
    </row>
    <row r="149" spans="1:38" x14ac:dyDescent="0.25">
      <c r="A149" s="29">
        <v>133</v>
      </c>
      <c r="B149" s="5" t="s">
        <v>93</v>
      </c>
      <c r="C149" s="5" t="s">
        <v>536</v>
      </c>
      <c r="D149" s="5" t="s">
        <v>15</v>
      </c>
      <c r="E149" s="6">
        <v>0.3</v>
      </c>
      <c r="F149" s="5" t="s">
        <v>24</v>
      </c>
      <c r="G149" s="5">
        <f>VLOOKUP(F149,Lookup!$A$8:$B$12,2,0)</f>
        <v>4</v>
      </c>
      <c r="H149" s="5" t="s">
        <v>95</v>
      </c>
      <c r="I149" s="5">
        <v>1</v>
      </c>
      <c r="J149" s="5">
        <f>VLOOKUP(I149,Lookup!$A$15:$B$18,2,0)</f>
        <v>1</v>
      </c>
      <c r="K149" s="5" t="s">
        <v>33</v>
      </c>
      <c r="L149" s="5">
        <f>VLOOKUP(K149,Lookup!$D$21:$E$24,2,0)</f>
        <v>10</v>
      </c>
      <c r="M149" s="6">
        <f t="shared" si="67"/>
        <v>3</v>
      </c>
      <c r="N149" s="5">
        <f>VLOOKUP(K149,Lookup!$A$21:$B$24,2,0)</f>
        <v>2</v>
      </c>
      <c r="O149" s="5" t="s">
        <v>537</v>
      </c>
      <c r="P149" s="5" t="s">
        <v>44</v>
      </c>
      <c r="Q149" s="5">
        <f>VLOOKUP(P149,Lookup!$A$27:$B$31,2,0)</f>
        <v>2</v>
      </c>
      <c r="R149" s="6">
        <f t="shared" si="68"/>
        <v>9</v>
      </c>
      <c r="S149" s="6">
        <f>1158*0.08</f>
        <v>92.64</v>
      </c>
      <c r="T149" s="6">
        <v>286</v>
      </c>
      <c r="U149" s="6">
        <f t="shared" si="81"/>
        <v>378.64</v>
      </c>
      <c r="V149" s="6">
        <f t="shared" si="69"/>
        <v>37.863999999999997</v>
      </c>
      <c r="W149" s="6">
        <v>150</v>
      </c>
      <c r="X149" s="18" t="s">
        <v>427</v>
      </c>
      <c r="Y149" s="5" t="s">
        <v>113</v>
      </c>
      <c r="Z149" s="33">
        <f t="shared" si="82"/>
        <v>3</v>
      </c>
      <c r="AA149" s="33">
        <v>0</v>
      </c>
      <c r="AB149" s="33">
        <f t="shared" si="70"/>
        <v>0.89999999999999991</v>
      </c>
      <c r="AC149" s="33">
        <f t="shared" si="71"/>
        <v>0</v>
      </c>
      <c r="AD149" s="33">
        <f t="shared" si="72"/>
        <v>0.89999999999999991</v>
      </c>
      <c r="AE149" s="33">
        <f t="shared" si="73"/>
        <v>0</v>
      </c>
      <c r="AF149" s="33">
        <f t="shared" si="74"/>
        <v>0.33600000000000002</v>
      </c>
      <c r="AG149" s="34">
        <f t="shared" si="75"/>
        <v>1933.9607999999969</v>
      </c>
      <c r="AH149" s="40">
        <f t="shared" si="76"/>
        <v>266.70000000000016</v>
      </c>
      <c r="AI149" s="40">
        <f t="shared" si="77"/>
        <v>5</v>
      </c>
      <c r="AJ149" s="40">
        <f t="shared" si="78"/>
        <v>8</v>
      </c>
      <c r="AK149" s="40">
        <f t="shared" si="79"/>
        <v>7</v>
      </c>
      <c r="AL149" s="40">
        <f t="shared" si="80"/>
        <v>7</v>
      </c>
    </row>
    <row r="150" spans="1:38" x14ac:dyDescent="0.25">
      <c r="A150" s="29">
        <v>139</v>
      </c>
      <c r="B150" s="5" t="s">
        <v>93</v>
      </c>
      <c r="C150" s="5" t="s">
        <v>538</v>
      </c>
      <c r="D150" s="5" t="s">
        <v>17</v>
      </c>
      <c r="E150" s="6">
        <v>0.9</v>
      </c>
      <c r="F150" s="5" t="s">
        <v>26</v>
      </c>
      <c r="G150" s="5">
        <f>VLOOKUP(F150,Lookup!$A$8:$B$12,2,0)</f>
        <v>1</v>
      </c>
      <c r="H150" s="5" t="s">
        <v>439</v>
      </c>
      <c r="I150" s="5">
        <v>2</v>
      </c>
      <c r="J150" s="5">
        <f>VLOOKUP(I150,Lookup!$A$15:$B$18,2,0)</f>
        <v>3</v>
      </c>
      <c r="K150" s="5" t="s">
        <v>37</v>
      </c>
      <c r="L150" s="5">
        <f>VLOOKUP(K150,Lookup!$D$21:$E$24,2,0)</f>
        <v>2</v>
      </c>
      <c r="M150" s="6">
        <f t="shared" si="67"/>
        <v>1.8</v>
      </c>
      <c r="N150" s="5">
        <f>VLOOKUP(K150,Lookup!$A$21:$B$24,2,0)</f>
        <v>5</v>
      </c>
      <c r="O150" s="5" t="s">
        <v>403</v>
      </c>
      <c r="P150" s="5" t="s">
        <v>43</v>
      </c>
      <c r="Q150" s="5">
        <f>VLOOKUP(P150,Lookup!$A$27:$B$31,2,0)</f>
        <v>3</v>
      </c>
      <c r="R150" s="6">
        <f t="shared" si="68"/>
        <v>12</v>
      </c>
      <c r="S150" s="6">
        <f>1158*0.08</f>
        <v>92.64</v>
      </c>
      <c r="U150" s="6">
        <f t="shared" si="81"/>
        <v>92.64</v>
      </c>
      <c r="V150" s="6">
        <f t="shared" si="69"/>
        <v>46.32</v>
      </c>
      <c r="W150" s="6">
        <v>150</v>
      </c>
      <c r="X150" s="18" t="s">
        <v>441</v>
      </c>
      <c r="Z150" s="33">
        <f t="shared" si="82"/>
        <v>1.8</v>
      </c>
      <c r="AA150" s="33">
        <v>0</v>
      </c>
      <c r="AB150" s="33">
        <f t="shared" si="70"/>
        <v>0.54</v>
      </c>
      <c r="AC150" s="33">
        <f t="shared" si="71"/>
        <v>0</v>
      </c>
      <c r="AD150" s="33">
        <f t="shared" si="72"/>
        <v>0.54</v>
      </c>
      <c r="AE150" s="33">
        <f t="shared" si="73"/>
        <v>0</v>
      </c>
      <c r="AF150" s="33">
        <f t="shared" si="74"/>
        <v>0.2016</v>
      </c>
      <c r="AG150" s="34">
        <f t="shared" si="75"/>
        <v>1937.0423999999969</v>
      </c>
      <c r="AH150" s="40">
        <f t="shared" si="76"/>
        <v>267.60000000000014</v>
      </c>
      <c r="AI150" s="40">
        <f t="shared" si="77"/>
        <v>11</v>
      </c>
      <c r="AJ150" s="40">
        <f t="shared" si="78"/>
        <v>9</v>
      </c>
      <c r="AK150" s="40">
        <f t="shared" si="79"/>
        <v>7</v>
      </c>
      <c r="AL150" s="40">
        <f t="shared" si="80"/>
        <v>9</v>
      </c>
    </row>
    <row r="151" spans="1:38" x14ac:dyDescent="0.25">
      <c r="A151" s="5">
        <v>159</v>
      </c>
      <c r="B151" s="5" t="s">
        <v>118</v>
      </c>
      <c r="C151" s="5" t="s">
        <v>539</v>
      </c>
      <c r="D151" s="5" t="s">
        <v>17</v>
      </c>
      <c r="E151" s="6">
        <v>2</v>
      </c>
      <c r="F151" s="5" t="s">
        <v>24</v>
      </c>
      <c r="G151" s="5">
        <f>VLOOKUP(F151,Lookup!$A$8:$B$12,2,0)</f>
        <v>4</v>
      </c>
      <c r="H151" s="5" t="s">
        <v>465</v>
      </c>
      <c r="I151" s="5">
        <v>1</v>
      </c>
      <c r="J151" s="5">
        <f>VLOOKUP(I151,Lookup!$A$15:$B$18,2,0)</f>
        <v>1</v>
      </c>
      <c r="K151" s="5" t="s">
        <v>35</v>
      </c>
      <c r="L151" s="5">
        <f>VLOOKUP(K151,Lookup!$D$21:$E$24,2,0)</f>
        <v>5</v>
      </c>
      <c r="M151" s="6">
        <f t="shared" si="67"/>
        <v>10</v>
      </c>
      <c r="N151" s="5">
        <f>VLOOKUP(K151,Lookup!$A$21:$B$24,2,0)</f>
        <v>3</v>
      </c>
      <c r="O151" s="5" t="s">
        <v>540</v>
      </c>
      <c r="P151" s="5" t="s">
        <v>44</v>
      </c>
      <c r="Q151" s="5">
        <f>VLOOKUP(P151,Lookup!$A$27:$B$31,2,0)</f>
        <v>2</v>
      </c>
      <c r="R151" s="6">
        <f t="shared" si="68"/>
        <v>10</v>
      </c>
      <c r="S151" s="6">
        <f>1262*0.1+394*0.1</f>
        <v>165.60000000000002</v>
      </c>
      <c r="T151" s="6">
        <v>171</v>
      </c>
      <c r="U151" s="6">
        <f t="shared" si="81"/>
        <v>336.6</v>
      </c>
      <c r="V151" s="6">
        <f t="shared" si="69"/>
        <v>67.320000000000007</v>
      </c>
      <c r="W151" s="6">
        <v>150</v>
      </c>
      <c r="X151" s="18" t="s">
        <v>427</v>
      </c>
      <c r="Z151" s="33">
        <f t="shared" si="82"/>
        <v>10</v>
      </c>
      <c r="AA151" s="33">
        <v>0</v>
      </c>
      <c r="AB151" s="33">
        <f t="shared" si="70"/>
        <v>3</v>
      </c>
      <c r="AC151" s="33">
        <f t="shared" si="71"/>
        <v>0</v>
      </c>
      <c r="AD151" s="33">
        <f t="shared" si="72"/>
        <v>3</v>
      </c>
      <c r="AE151" s="33">
        <f t="shared" si="73"/>
        <v>0</v>
      </c>
      <c r="AF151" s="33">
        <f t="shared" si="74"/>
        <v>1.1200000000000001</v>
      </c>
      <c r="AG151" s="34">
        <f t="shared" si="75"/>
        <v>1954.1623999999968</v>
      </c>
      <c r="AH151" s="40">
        <f t="shared" si="76"/>
        <v>269.60000000000014</v>
      </c>
      <c r="AI151" s="40">
        <f t="shared" si="77"/>
        <v>6</v>
      </c>
      <c r="AJ151" s="40">
        <f t="shared" si="78"/>
        <v>9</v>
      </c>
      <c r="AK151" s="40">
        <f t="shared" si="79"/>
        <v>7</v>
      </c>
      <c r="AL151" s="40">
        <f t="shared" si="80"/>
        <v>8</v>
      </c>
    </row>
    <row r="152" spans="1:38" x14ac:dyDescent="0.25">
      <c r="A152" s="29">
        <v>163</v>
      </c>
      <c r="B152" s="5" t="s">
        <v>300</v>
      </c>
      <c r="C152" s="5" t="s">
        <v>541</v>
      </c>
      <c r="D152" s="5" t="s">
        <v>18</v>
      </c>
      <c r="E152" s="6">
        <v>1.5</v>
      </c>
      <c r="F152" s="5" t="s">
        <v>28</v>
      </c>
      <c r="G152" s="5">
        <f>VLOOKUP(F152,Lookup!$A$8:$B$12,2,0)</f>
        <v>0</v>
      </c>
      <c r="I152" s="5">
        <v>1</v>
      </c>
      <c r="J152" s="5">
        <f>VLOOKUP(I152,Lookup!$A$15:$B$18,2,0)</f>
        <v>1</v>
      </c>
      <c r="K152" s="5" t="s">
        <v>35</v>
      </c>
      <c r="L152" s="5">
        <f>VLOOKUP(K152,Lookup!$D$21:$E$24,2,0)</f>
        <v>5</v>
      </c>
      <c r="M152" s="6">
        <f t="shared" si="67"/>
        <v>7.5</v>
      </c>
      <c r="N152" s="5">
        <f>VLOOKUP(K152,Lookup!$A$21:$B$24,2,0)</f>
        <v>3</v>
      </c>
      <c r="O152" s="5" t="s">
        <v>542</v>
      </c>
      <c r="P152" s="5" t="s">
        <v>44</v>
      </c>
      <c r="Q152" s="5">
        <f>VLOOKUP(P152,Lookup!$A$27:$B$31,2,0)</f>
        <v>2</v>
      </c>
      <c r="R152" s="6">
        <f t="shared" si="68"/>
        <v>6</v>
      </c>
      <c r="S152" s="6">
        <f>559*0.05+608*0.05</f>
        <v>58.350000000000009</v>
      </c>
      <c r="T152" s="6">
        <v>137</v>
      </c>
      <c r="U152" s="6">
        <f t="shared" si="81"/>
        <v>195.35000000000002</v>
      </c>
      <c r="V152" s="6">
        <f t="shared" si="69"/>
        <v>39.070000000000007</v>
      </c>
      <c r="W152" s="6">
        <v>150</v>
      </c>
      <c r="X152" s="18" t="s">
        <v>427</v>
      </c>
      <c r="Z152" s="33">
        <f t="shared" si="82"/>
        <v>7.5</v>
      </c>
      <c r="AA152" s="33">
        <v>0</v>
      </c>
      <c r="AB152" s="33">
        <f t="shared" si="70"/>
        <v>2.25</v>
      </c>
      <c r="AC152" s="33">
        <f t="shared" si="71"/>
        <v>0</v>
      </c>
      <c r="AD152" s="33">
        <f t="shared" si="72"/>
        <v>2.25</v>
      </c>
      <c r="AE152" s="33">
        <f t="shared" si="73"/>
        <v>0</v>
      </c>
      <c r="AF152" s="33">
        <f t="shared" si="74"/>
        <v>0.84000000000000008</v>
      </c>
      <c r="AG152" s="34">
        <f t="shared" si="75"/>
        <v>1967.0023999999967</v>
      </c>
      <c r="AH152" s="40">
        <f t="shared" si="76"/>
        <v>271.10000000000014</v>
      </c>
      <c r="AI152" s="40">
        <f t="shared" si="77"/>
        <v>6</v>
      </c>
      <c r="AJ152" s="40">
        <f t="shared" si="78"/>
        <v>5</v>
      </c>
      <c r="AK152" s="40">
        <f t="shared" si="79"/>
        <v>3</v>
      </c>
      <c r="AL152" s="40">
        <f t="shared" si="80"/>
        <v>4</v>
      </c>
    </row>
    <row r="153" spans="1:38" x14ac:dyDescent="0.25">
      <c r="A153" s="29">
        <v>166</v>
      </c>
      <c r="B153" s="5" t="s">
        <v>300</v>
      </c>
      <c r="C153" s="5" t="s">
        <v>543</v>
      </c>
      <c r="D153" s="5" t="s">
        <v>17</v>
      </c>
      <c r="E153" s="6">
        <v>1.8</v>
      </c>
      <c r="F153" s="5" t="s">
        <v>28</v>
      </c>
      <c r="G153" s="5">
        <f>VLOOKUP(F153,Lookup!$A$8:$B$12,2,0)</f>
        <v>0</v>
      </c>
      <c r="I153" s="5">
        <v>1</v>
      </c>
      <c r="J153" s="5">
        <f>VLOOKUP(I153,Lookup!$A$15:$B$18,2,0)</f>
        <v>1</v>
      </c>
      <c r="K153" s="5" t="s">
        <v>35</v>
      </c>
      <c r="L153" s="5">
        <f>VLOOKUP(K153,Lookup!$D$21:$E$24,2,0)</f>
        <v>5</v>
      </c>
      <c r="M153" s="6">
        <f t="shared" si="67"/>
        <v>9</v>
      </c>
      <c r="N153" s="5">
        <f>VLOOKUP(K153,Lookup!$A$21:$B$24,2,0)</f>
        <v>3</v>
      </c>
      <c r="O153" s="5" t="s">
        <v>544</v>
      </c>
      <c r="P153" s="5" t="s">
        <v>43</v>
      </c>
      <c r="Q153" s="5">
        <f>VLOOKUP(P153,Lookup!$A$27:$B$31,2,0)</f>
        <v>3</v>
      </c>
      <c r="R153" s="6">
        <f t="shared" si="68"/>
        <v>7</v>
      </c>
      <c r="S153" s="6">
        <f>559*0.05+608*0.05</f>
        <v>58.350000000000009</v>
      </c>
      <c r="T153" s="6">
        <v>107</v>
      </c>
      <c r="U153" s="6">
        <f t="shared" si="81"/>
        <v>165.35000000000002</v>
      </c>
      <c r="V153" s="6">
        <f t="shared" si="69"/>
        <v>33.070000000000007</v>
      </c>
      <c r="W153" s="6">
        <v>150</v>
      </c>
      <c r="X153" s="18" t="s">
        <v>427</v>
      </c>
      <c r="Z153" s="33">
        <f t="shared" si="82"/>
        <v>9</v>
      </c>
      <c r="AA153" s="33">
        <v>0</v>
      </c>
      <c r="AB153" s="33">
        <f t="shared" si="70"/>
        <v>2.6999999999999997</v>
      </c>
      <c r="AC153" s="33">
        <f t="shared" si="71"/>
        <v>0</v>
      </c>
      <c r="AD153" s="33">
        <f t="shared" si="72"/>
        <v>2.6999999999999997</v>
      </c>
      <c r="AE153" s="33">
        <f t="shared" si="73"/>
        <v>0</v>
      </c>
      <c r="AF153" s="33">
        <f t="shared" si="74"/>
        <v>1.008</v>
      </c>
      <c r="AG153" s="34">
        <f t="shared" si="75"/>
        <v>1982.4103999999966</v>
      </c>
      <c r="AH153" s="40">
        <f t="shared" si="76"/>
        <v>272.90000000000015</v>
      </c>
      <c r="AI153" s="40">
        <f t="shared" si="77"/>
        <v>7</v>
      </c>
      <c r="AJ153" s="40">
        <f t="shared" si="78"/>
        <v>6</v>
      </c>
      <c r="AK153" s="40">
        <f t="shared" si="79"/>
        <v>4</v>
      </c>
      <c r="AL153" s="40">
        <f t="shared" si="80"/>
        <v>4</v>
      </c>
    </row>
    <row r="154" spans="1:38" x14ac:dyDescent="0.25">
      <c r="A154" s="5">
        <v>168</v>
      </c>
      <c r="B154" s="5" t="s">
        <v>300</v>
      </c>
      <c r="C154" s="5" t="s">
        <v>545</v>
      </c>
      <c r="D154" s="5" t="s">
        <v>17</v>
      </c>
      <c r="E154" s="6">
        <v>0.5</v>
      </c>
      <c r="F154" s="5" t="s">
        <v>28</v>
      </c>
      <c r="G154" s="5">
        <f>VLOOKUP(F154,Lookup!$A$8:$B$12,2,0)</f>
        <v>0</v>
      </c>
      <c r="I154" s="5">
        <v>1</v>
      </c>
      <c r="J154" s="5">
        <f>VLOOKUP(I154,Lookup!$A$15:$B$18,2,0)</f>
        <v>1</v>
      </c>
      <c r="K154" s="5" t="s">
        <v>37</v>
      </c>
      <c r="L154" s="5">
        <f>VLOOKUP(K154,Lookup!$D$21:$E$24,2,0)</f>
        <v>2</v>
      </c>
      <c r="M154" s="6">
        <f t="shared" si="67"/>
        <v>1</v>
      </c>
      <c r="N154" s="5">
        <f>VLOOKUP(K154,Lookup!$A$21:$B$24,2,0)</f>
        <v>5</v>
      </c>
      <c r="O154" s="5" t="s">
        <v>403</v>
      </c>
      <c r="P154" s="5" t="s">
        <v>45</v>
      </c>
      <c r="Q154" s="5">
        <f>VLOOKUP(P154,Lookup!$A$27:$B$31,2,0)</f>
        <v>1</v>
      </c>
      <c r="R154" s="6">
        <f t="shared" si="68"/>
        <v>7</v>
      </c>
      <c r="S154" s="6">
        <f>559*0.05+608*0.05</f>
        <v>58.350000000000009</v>
      </c>
      <c r="T154" s="6">
        <v>64</v>
      </c>
      <c r="U154" s="6">
        <f t="shared" si="81"/>
        <v>122.35000000000001</v>
      </c>
      <c r="V154" s="6">
        <f t="shared" si="69"/>
        <v>61.175000000000004</v>
      </c>
      <c r="W154" s="6">
        <v>150</v>
      </c>
      <c r="X154" s="18" t="s">
        <v>427</v>
      </c>
      <c r="Z154" s="33">
        <f t="shared" si="82"/>
        <v>1</v>
      </c>
      <c r="AA154" s="33">
        <v>0</v>
      </c>
      <c r="AB154" s="33">
        <f t="shared" si="70"/>
        <v>0.3</v>
      </c>
      <c r="AC154" s="33">
        <f t="shared" si="71"/>
        <v>0</v>
      </c>
      <c r="AD154" s="33">
        <f t="shared" si="72"/>
        <v>0.3</v>
      </c>
      <c r="AE154" s="33">
        <f t="shared" si="73"/>
        <v>0</v>
      </c>
      <c r="AF154" s="33">
        <f t="shared" si="74"/>
        <v>0.11200000000000002</v>
      </c>
      <c r="AG154" s="34">
        <f t="shared" si="75"/>
        <v>1984.1223999999966</v>
      </c>
      <c r="AH154" s="40">
        <f t="shared" si="76"/>
        <v>273.40000000000015</v>
      </c>
      <c r="AI154" s="40">
        <f t="shared" si="77"/>
        <v>7</v>
      </c>
      <c r="AJ154" s="40">
        <f t="shared" si="78"/>
        <v>6</v>
      </c>
      <c r="AK154" s="40">
        <f t="shared" si="79"/>
        <v>2</v>
      </c>
      <c r="AL154" s="40">
        <f t="shared" si="80"/>
        <v>6</v>
      </c>
    </row>
    <row r="155" spans="1:38" x14ac:dyDescent="0.25">
      <c r="A155" s="29">
        <v>173</v>
      </c>
      <c r="B155" s="5" t="s">
        <v>546</v>
      </c>
      <c r="C155" s="5" t="s">
        <v>547</v>
      </c>
      <c r="D155" s="5" t="s">
        <v>17</v>
      </c>
      <c r="E155" s="6">
        <v>2.1</v>
      </c>
      <c r="F155" s="5" t="s">
        <v>24</v>
      </c>
      <c r="G155" s="5">
        <f>VLOOKUP(F155,Lookup!$A$8:$B$12,2,0)</f>
        <v>4</v>
      </c>
      <c r="H155" s="5" t="s">
        <v>548</v>
      </c>
      <c r="I155" s="5">
        <v>1</v>
      </c>
      <c r="J155" s="5">
        <f>VLOOKUP(I155,Lookup!$A$15:$B$18,2,0)</f>
        <v>1</v>
      </c>
      <c r="K155" s="5" t="s">
        <v>35</v>
      </c>
      <c r="L155" s="5">
        <f>VLOOKUP(K155,Lookup!$D$21:$E$24,2,0)</f>
        <v>5</v>
      </c>
      <c r="M155" s="6">
        <f t="shared" si="67"/>
        <v>10.5</v>
      </c>
      <c r="N155" s="5">
        <f>VLOOKUP(K155,Lookup!$A$21:$B$24,2,0)</f>
        <v>3</v>
      </c>
      <c r="O155" s="5" t="s">
        <v>549</v>
      </c>
      <c r="P155" s="5" t="s">
        <v>45</v>
      </c>
      <c r="Q155" s="5">
        <f>VLOOKUP(P155,Lookup!$A$27:$B$31,2,0)</f>
        <v>1</v>
      </c>
      <c r="R155" s="6">
        <f t="shared" si="68"/>
        <v>9</v>
      </c>
      <c r="T155" s="6">
        <v>154</v>
      </c>
      <c r="U155" s="6">
        <f t="shared" si="81"/>
        <v>154</v>
      </c>
      <c r="V155" s="6">
        <f t="shared" si="69"/>
        <v>30.800000000000004</v>
      </c>
      <c r="W155" s="6">
        <v>150</v>
      </c>
      <c r="X155" s="18" t="s">
        <v>427</v>
      </c>
      <c r="Y155" s="5" t="s">
        <v>128</v>
      </c>
      <c r="Z155" s="33">
        <f t="shared" si="82"/>
        <v>10.5</v>
      </c>
      <c r="AA155" s="33">
        <v>0</v>
      </c>
      <c r="AB155" s="33">
        <f t="shared" si="70"/>
        <v>3.15</v>
      </c>
      <c r="AC155" s="33">
        <f t="shared" si="71"/>
        <v>0</v>
      </c>
      <c r="AD155" s="33">
        <f t="shared" si="72"/>
        <v>3.15</v>
      </c>
      <c r="AE155" s="33">
        <f t="shared" si="73"/>
        <v>0</v>
      </c>
      <c r="AF155" s="33">
        <f t="shared" si="74"/>
        <v>1.1760000000000002</v>
      </c>
      <c r="AG155" s="34">
        <f t="shared" si="75"/>
        <v>2002.0983999999967</v>
      </c>
      <c r="AH155" s="40">
        <f t="shared" si="76"/>
        <v>275.50000000000017</v>
      </c>
      <c r="AI155" s="40">
        <f t="shared" si="77"/>
        <v>5</v>
      </c>
      <c r="AJ155" s="40">
        <f t="shared" si="78"/>
        <v>8</v>
      </c>
      <c r="AK155" s="40">
        <f t="shared" si="79"/>
        <v>6</v>
      </c>
      <c r="AL155" s="40">
        <f t="shared" si="80"/>
        <v>8</v>
      </c>
    </row>
    <row r="156" spans="1:38" x14ac:dyDescent="0.25">
      <c r="A156" s="5">
        <v>174</v>
      </c>
      <c r="B156" s="5" t="s">
        <v>546</v>
      </c>
      <c r="C156" s="5" t="s">
        <v>550</v>
      </c>
      <c r="D156" s="5" t="s">
        <v>17</v>
      </c>
      <c r="E156" s="6">
        <v>2.4</v>
      </c>
      <c r="F156" s="5" t="s">
        <v>28</v>
      </c>
      <c r="G156" s="5">
        <f>VLOOKUP(F156,Lookup!$A$8:$B$12,2,0)</f>
        <v>0</v>
      </c>
      <c r="I156" s="5">
        <v>1</v>
      </c>
      <c r="J156" s="5">
        <f>VLOOKUP(I156,Lookup!$A$15:$B$18,2,0)</f>
        <v>1</v>
      </c>
      <c r="K156" s="5" t="s">
        <v>35</v>
      </c>
      <c r="L156" s="5">
        <f>VLOOKUP(K156,Lookup!$D$21:$E$24,2,0)</f>
        <v>5</v>
      </c>
      <c r="M156" s="6">
        <f t="shared" si="67"/>
        <v>12</v>
      </c>
      <c r="N156" s="5">
        <f>VLOOKUP(K156,Lookup!$A$21:$B$24,2,0)</f>
        <v>3</v>
      </c>
      <c r="O156" s="5" t="s">
        <v>549</v>
      </c>
      <c r="P156" s="5" t="s">
        <v>45</v>
      </c>
      <c r="Q156" s="5">
        <f>VLOOKUP(P156,Lookup!$A$27:$B$31,2,0)</f>
        <v>1</v>
      </c>
      <c r="R156" s="6">
        <f t="shared" si="68"/>
        <v>5</v>
      </c>
      <c r="T156" s="6">
        <v>25</v>
      </c>
      <c r="U156" s="6">
        <f t="shared" si="81"/>
        <v>25</v>
      </c>
      <c r="V156" s="6">
        <f t="shared" si="69"/>
        <v>5</v>
      </c>
      <c r="W156" s="6">
        <v>150</v>
      </c>
      <c r="X156" s="18" t="s">
        <v>427</v>
      </c>
      <c r="Y156" s="5" t="s">
        <v>128</v>
      </c>
      <c r="Z156" s="33">
        <f t="shared" si="82"/>
        <v>12</v>
      </c>
      <c r="AA156" s="33">
        <v>0</v>
      </c>
      <c r="AB156" s="33">
        <f t="shared" si="70"/>
        <v>3.5999999999999996</v>
      </c>
      <c r="AC156" s="33">
        <f t="shared" si="71"/>
        <v>0</v>
      </c>
      <c r="AD156" s="33">
        <f t="shared" si="72"/>
        <v>3.5999999999999996</v>
      </c>
      <c r="AE156" s="33">
        <f t="shared" si="73"/>
        <v>0</v>
      </c>
      <c r="AF156" s="33">
        <f t="shared" si="74"/>
        <v>1.3440000000000001</v>
      </c>
      <c r="AG156" s="34">
        <f t="shared" si="75"/>
        <v>2022.6423999999968</v>
      </c>
      <c r="AH156" s="40">
        <f t="shared" si="76"/>
        <v>277.90000000000015</v>
      </c>
      <c r="AI156" s="40">
        <f t="shared" si="77"/>
        <v>5</v>
      </c>
      <c r="AJ156" s="40">
        <f t="shared" si="78"/>
        <v>4</v>
      </c>
      <c r="AK156" s="40">
        <f t="shared" si="79"/>
        <v>2</v>
      </c>
      <c r="AL156" s="40">
        <f t="shared" si="80"/>
        <v>4</v>
      </c>
    </row>
    <row r="157" spans="1:38" x14ac:dyDescent="0.25">
      <c r="A157" s="29">
        <v>175</v>
      </c>
      <c r="B157" s="5" t="s">
        <v>551</v>
      </c>
      <c r="C157" s="5" t="s">
        <v>552</v>
      </c>
      <c r="D157" s="5" t="s">
        <v>17</v>
      </c>
      <c r="E157" s="6">
        <v>15</v>
      </c>
      <c r="F157" s="5" t="s">
        <v>26</v>
      </c>
      <c r="G157" s="5">
        <f>VLOOKUP(F157,Lookup!$A$8:$B$12,2,0)</f>
        <v>1</v>
      </c>
      <c r="H157" s="5" t="s">
        <v>553</v>
      </c>
      <c r="I157" s="5">
        <v>2</v>
      </c>
      <c r="J157" s="5">
        <f>VLOOKUP(I157,Lookup!$A$15:$B$18,2,0)</f>
        <v>3</v>
      </c>
      <c r="K157" s="5" t="s">
        <v>35</v>
      </c>
      <c r="L157" s="5">
        <f>VLOOKUP(K157,Lookup!$D$21:$E$24,2,0)</f>
        <v>5</v>
      </c>
      <c r="M157" s="6">
        <f t="shared" si="67"/>
        <v>75</v>
      </c>
      <c r="N157" s="5">
        <f>VLOOKUP(K157,Lookup!$A$21:$B$24,2,0)</f>
        <v>3</v>
      </c>
      <c r="O157" s="5" t="s">
        <v>554</v>
      </c>
      <c r="P157" s="5" t="s">
        <v>45</v>
      </c>
      <c r="Q157" s="5">
        <f>VLOOKUP(P157,Lookup!$A$27:$B$31,2,0)</f>
        <v>1</v>
      </c>
      <c r="R157" s="6">
        <f t="shared" si="68"/>
        <v>8</v>
      </c>
      <c r="V157" s="6">
        <f t="shared" si="69"/>
        <v>4</v>
      </c>
      <c r="W157" s="6">
        <v>150</v>
      </c>
      <c r="X157" s="18" t="s">
        <v>427</v>
      </c>
      <c r="Y157" s="5" t="s">
        <v>128</v>
      </c>
      <c r="Z157" s="33">
        <f t="shared" si="82"/>
        <v>75</v>
      </c>
      <c r="AA157" s="33">
        <v>0</v>
      </c>
      <c r="AB157" s="33">
        <f t="shared" si="70"/>
        <v>22.5</v>
      </c>
      <c r="AC157" s="33">
        <f t="shared" si="71"/>
        <v>0</v>
      </c>
      <c r="AD157" s="33">
        <f t="shared" si="72"/>
        <v>22.5</v>
      </c>
      <c r="AE157" s="33">
        <f t="shared" si="73"/>
        <v>0</v>
      </c>
      <c r="AF157" s="33">
        <f t="shared" si="74"/>
        <v>8.4</v>
      </c>
      <c r="AG157" s="34">
        <f t="shared" si="75"/>
        <v>2151.0423999999966</v>
      </c>
      <c r="AH157" s="40">
        <f t="shared" si="76"/>
        <v>292.90000000000015</v>
      </c>
      <c r="AI157" s="40">
        <f t="shared" si="77"/>
        <v>7</v>
      </c>
      <c r="AJ157" s="40">
        <f t="shared" si="78"/>
        <v>5</v>
      </c>
      <c r="AK157" s="40">
        <f t="shared" si="79"/>
        <v>5</v>
      </c>
      <c r="AL157" s="40">
        <f t="shared" si="80"/>
        <v>7</v>
      </c>
    </row>
    <row r="158" spans="1:38" x14ac:dyDescent="0.25">
      <c r="A158" s="29">
        <v>17</v>
      </c>
      <c r="B158" s="5" t="s">
        <v>493</v>
      </c>
      <c r="C158" s="5" t="s">
        <v>555</v>
      </c>
      <c r="D158" s="5" t="s">
        <v>15</v>
      </c>
      <c r="E158" s="6">
        <v>13.2</v>
      </c>
      <c r="F158" s="5" t="s">
        <v>24</v>
      </c>
      <c r="G158" s="5">
        <f>VLOOKUP(F158,Lookup!$A$8:$B$12,2,0)</f>
        <v>4</v>
      </c>
      <c r="H158" s="5" t="s">
        <v>556</v>
      </c>
      <c r="I158" s="5">
        <v>1</v>
      </c>
      <c r="J158" s="5">
        <f>VLOOKUP(I158,Lookup!$A$15:$B$18,2,0)</f>
        <v>1</v>
      </c>
      <c r="K158" s="5" t="s">
        <v>32</v>
      </c>
      <c r="L158" s="5">
        <f>VLOOKUP(K158,Lookup!$D$21:$E$24,2,0)</f>
        <v>20</v>
      </c>
      <c r="M158" s="6">
        <f t="shared" si="67"/>
        <v>264</v>
      </c>
      <c r="N158" s="5">
        <f>VLOOKUP(K158,Lookup!$A$21:$B$24,2,0)</f>
        <v>1</v>
      </c>
      <c r="O158" s="5" t="s">
        <v>454</v>
      </c>
      <c r="P158" s="5" t="s">
        <v>40</v>
      </c>
      <c r="Q158" s="5">
        <f>VLOOKUP(P158,Lookup!$A$27:$B$31,2,0)</f>
        <v>5</v>
      </c>
      <c r="R158" s="6">
        <f t="shared" si="68"/>
        <v>11</v>
      </c>
      <c r="S158" s="6">
        <f>426*0.1</f>
        <v>42.6</v>
      </c>
      <c r="T158" s="6">
        <v>421</v>
      </c>
      <c r="U158" s="6">
        <f t="shared" ref="U158:U178" si="83">T158+S158</f>
        <v>463.6</v>
      </c>
      <c r="V158" s="6">
        <f t="shared" si="69"/>
        <v>23.18</v>
      </c>
      <c r="W158" s="6">
        <v>200</v>
      </c>
      <c r="X158" s="18" t="s">
        <v>557</v>
      </c>
      <c r="Z158" s="33">
        <f t="shared" si="82"/>
        <v>264</v>
      </c>
      <c r="AA158" s="33">
        <v>0</v>
      </c>
      <c r="AB158" s="33">
        <f t="shared" si="70"/>
        <v>79.2</v>
      </c>
      <c r="AC158" s="33">
        <f t="shared" si="71"/>
        <v>0</v>
      </c>
      <c r="AD158" s="33">
        <f t="shared" si="72"/>
        <v>79.2</v>
      </c>
      <c r="AE158" s="33">
        <f t="shared" si="73"/>
        <v>0</v>
      </c>
      <c r="AF158" s="33">
        <f t="shared" si="74"/>
        <v>29.568000000000001</v>
      </c>
      <c r="AG158" s="34">
        <f t="shared" si="75"/>
        <v>2603.0103999999965</v>
      </c>
      <c r="AH158" s="40">
        <f t="shared" si="76"/>
        <v>306.10000000000014</v>
      </c>
      <c r="AI158" s="40">
        <f t="shared" si="77"/>
        <v>7</v>
      </c>
      <c r="AJ158" s="40">
        <f t="shared" si="78"/>
        <v>10</v>
      </c>
      <c r="AK158" s="40">
        <f t="shared" si="79"/>
        <v>10</v>
      </c>
      <c r="AL158" s="40">
        <f t="shared" si="80"/>
        <v>6</v>
      </c>
    </row>
    <row r="159" spans="1:38" x14ac:dyDescent="0.25">
      <c r="A159" s="29">
        <v>25</v>
      </c>
      <c r="B159" s="5" t="s">
        <v>346</v>
      </c>
      <c r="C159" s="5" t="s">
        <v>558</v>
      </c>
      <c r="D159" s="5" t="s">
        <v>15</v>
      </c>
      <c r="E159" s="6">
        <v>6.5</v>
      </c>
      <c r="F159" s="5" t="s">
        <v>24</v>
      </c>
      <c r="G159" s="5">
        <f>VLOOKUP(F159,Lookup!$A$8:$B$12,2,0)</f>
        <v>4</v>
      </c>
      <c r="H159" s="5" t="s">
        <v>348</v>
      </c>
      <c r="I159" s="5">
        <v>1</v>
      </c>
      <c r="J159" s="5">
        <f>VLOOKUP(I159,Lookup!$A$15:$B$18,2,0)</f>
        <v>1</v>
      </c>
      <c r="K159" s="5" t="s">
        <v>32</v>
      </c>
      <c r="L159" s="5">
        <v>22</v>
      </c>
      <c r="M159" s="6">
        <f t="shared" si="67"/>
        <v>143</v>
      </c>
      <c r="N159" s="5">
        <f>VLOOKUP(K159,Lookup!$A$21:$B$24,2,0)</f>
        <v>1</v>
      </c>
      <c r="O159" s="5" t="s">
        <v>454</v>
      </c>
      <c r="P159" s="5" t="s">
        <v>40</v>
      </c>
      <c r="Q159" s="5">
        <f>VLOOKUP(P159,Lookup!$A$27:$B$31,2,0)</f>
        <v>5</v>
      </c>
      <c r="R159" s="6">
        <f t="shared" si="68"/>
        <v>11</v>
      </c>
      <c r="S159" s="6">
        <f>681*0.1</f>
        <v>68.100000000000009</v>
      </c>
      <c r="T159" s="6">
        <v>1761</v>
      </c>
      <c r="U159" s="6">
        <f t="shared" si="83"/>
        <v>1829.1</v>
      </c>
      <c r="V159" s="6">
        <f t="shared" si="69"/>
        <v>83.140909090909091</v>
      </c>
      <c r="W159" s="6">
        <v>200</v>
      </c>
      <c r="X159" s="18" t="s">
        <v>557</v>
      </c>
      <c r="Y159" s="5" t="s">
        <v>113</v>
      </c>
      <c r="Z159" s="33">
        <f t="shared" si="82"/>
        <v>143</v>
      </c>
      <c r="AA159" s="33">
        <v>0</v>
      </c>
      <c r="AB159" s="33">
        <f t="shared" si="70"/>
        <v>42.9</v>
      </c>
      <c r="AC159" s="33">
        <f t="shared" si="71"/>
        <v>0</v>
      </c>
      <c r="AD159" s="33">
        <f t="shared" si="72"/>
        <v>42.9</v>
      </c>
      <c r="AE159" s="33">
        <f t="shared" si="73"/>
        <v>0</v>
      </c>
      <c r="AF159" s="33">
        <f t="shared" si="74"/>
        <v>16.016000000000002</v>
      </c>
      <c r="AG159" s="34">
        <f t="shared" si="75"/>
        <v>2847.8263999999963</v>
      </c>
      <c r="AH159" s="40">
        <f t="shared" si="76"/>
        <v>312.60000000000014</v>
      </c>
      <c r="AI159" s="40">
        <f t="shared" si="77"/>
        <v>7</v>
      </c>
      <c r="AJ159" s="40">
        <f t="shared" si="78"/>
        <v>10</v>
      </c>
      <c r="AK159" s="40">
        <f t="shared" si="79"/>
        <v>10</v>
      </c>
      <c r="AL159" s="40">
        <f t="shared" si="80"/>
        <v>6</v>
      </c>
    </row>
    <row r="160" spans="1:38" x14ac:dyDescent="0.25">
      <c r="A160" s="29">
        <v>29</v>
      </c>
      <c r="B160" s="5" t="s">
        <v>346</v>
      </c>
      <c r="C160" s="5" t="s">
        <v>559</v>
      </c>
      <c r="D160" s="5" t="s">
        <v>15</v>
      </c>
      <c r="E160" s="6">
        <v>3.6</v>
      </c>
      <c r="F160" s="5" t="s">
        <v>24</v>
      </c>
      <c r="G160" s="5">
        <f>VLOOKUP(F160,Lookup!$A$8:$B$12,2,0)</f>
        <v>4</v>
      </c>
      <c r="H160" s="5" t="s">
        <v>192</v>
      </c>
      <c r="I160" s="5">
        <v>1</v>
      </c>
      <c r="J160" s="5">
        <f>VLOOKUP(I160,Lookup!$A$15:$B$18,2,0)</f>
        <v>1</v>
      </c>
      <c r="K160" s="5" t="s">
        <v>32</v>
      </c>
      <c r="L160" s="5">
        <f>VLOOKUP(K160,Lookup!$D$21:$E$24,2,0)</f>
        <v>20</v>
      </c>
      <c r="M160" s="6">
        <f t="shared" si="67"/>
        <v>72</v>
      </c>
      <c r="N160" s="5">
        <f>VLOOKUP(K160,Lookup!$A$21:$B$24,2,0)</f>
        <v>1</v>
      </c>
      <c r="O160" s="5" t="s">
        <v>454</v>
      </c>
      <c r="P160" s="5" t="s">
        <v>40</v>
      </c>
      <c r="Q160" s="5">
        <f>VLOOKUP(P160,Lookup!$A$27:$B$31,2,0)</f>
        <v>5</v>
      </c>
      <c r="R160" s="6">
        <f t="shared" si="68"/>
        <v>11</v>
      </c>
      <c r="S160" s="6">
        <f>681*0.1</f>
        <v>68.100000000000009</v>
      </c>
      <c r="T160" s="6">
        <v>520</v>
      </c>
      <c r="U160" s="6">
        <f t="shared" si="83"/>
        <v>588.1</v>
      </c>
      <c r="V160" s="6">
        <f t="shared" si="69"/>
        <v>29.405000000000005</v>
      </c>
      <c r="W160" s="6">
        <v>200</v>
      </c>
      <c r="X160" s="18" t="s">
        <v>216</v>
      </c>
      <c r="Y160" s="5" t="s">
        <v>113</v>
      </c>
      <c r="Z160" s="33">
        <f t="shared" si="82"/>
        <v>72</v>
      </c>
      <c r="AA160" s="33">
        <v>0</v>
      </c>
      <c r="AB160" s="33">
        <f t="shared" si="70"/>
        <v>21.599999999999998</v>
      </c>
      <c r="AC160" s="33">
        <f t="shared" si="71"/>
        <v>0</v>
      </c>
      <c r="AD160" s="33">
        <f t="shared" si="72"/>
        <v>21.599999999999998</v>
      </c>
      <c r="AE160" s="33">
        <f t="shared" si="73"/>
        <v>0</v>
      </c>
      <c r="AF160" s="33">
        <f t="shared" si="74"/>
        <v>8.0640000000000001</v>
      </c>
      <c r="AG160" s="34">
        <f t="shared" si="75"/>
        <v>2971.0903999999964</v>
      </c>
      <c r="AH160" s="40">
        <f t="shared" si="76"/>
        <v>316.20000000000016</v>
      </c>
      <c r="AI160" s="40">
        <f t="shared" si="77"/>
        <v>7</v>
      </c>
      <c r="AJ160" s="40">
        <f t="shared" si="78"/>
        <v>10</v>
      </c>
      <c r="AK160" s="40">
        <f t="shared" si="79"/>
        <v>10</v>
      </c>
      <c r="AL160" s="40">
        <f t="shared" si="80"/>
        <v>6</v>
      </c>
    </row>
    <row r="161" spans="1:38" x14ac:dyDescent="0.25">
      <c r="A161" s="5">
        <v>42</v>
      </c>
      <c r="B161" s="5" t="s">
        <v>124</v>
      </c>
      <c r="C161" s="5" t="s">
        <v>560</v>
      </c>
      <c r="D161" s="5" t="s">
        <v>15</v>
      </c>
      <c r="E161" s="6">
        <v>4.5</v>
      </c>
      <c r="F161" s="5" t="s">
        <v>20</v>
      </c>
      <c r="G161" s="5">
        <f>VLOOKUP(F161,Lookup!$A$8:$B$12,2,0)</f>
        <v>5</v>
      </c>
      <c r="H161" s="5" t="s">
        <v>507</v>
      </c>
      <c r="I161" s="5">
        <v>1</v>
      </c>
      <c r="J161" s="5">
        <f>VLOOKUP(I161,Lookup!$A$15:$B$18,2,0)</f>
        <v>1</v>
      </c>
      <c r="K161" s="5" t="s">
        <v>33</v>
      </c>
      <c r="L161" s="5">
        <f>VLOOKUP(K161,Lookup!$D$21:$E$24,2,0)</f>
        <v>10</v>
      </c>
      <c r="M161" s="6">
        <f t="shared" si="67"/>
        <v>45</v>
      </c>
      <c r="N161" s="5">
        <f>VLOOKUP(K161,Lookup!$A$21:$B$24,2,0)</f>
        <v>2</v>
      </c>
      <c r="O161" s="5" t="s">
        <v>454</v>
      </c>
      <c r="P161" s="5" t="s">
        <v>40</v>
      </c>
      <c r="Q161" s="5">
        <f>VLOOKUP(P161,Lookup!$A$27:$B$31,2,0)</f>
        <v>5</v>
      </c>
      <c r="R161" s="6">
        <f t="shared" si="68"/>
        <v>13</v>
      </c>
      <c r="T161" s="6">
        <v>434</v>
      </c>
      <c r="U161" s="6">
        <f t="shared" si="83"/>
        <v>434</v>
      </c>
      <c r="V161" s="6">
        <f t="shared" si="69"/>
        <v>43.4</v>
      </c>
      <c r="W161" s="6">
        <v>200</v>
      </c>
      <c r="X161" s="18" t="s">
        <v>216</v>
      </c>
      <c r="Y161" s="5" t="s">
        <v>113</v>
      </c>
      <c r="Z161" s="33">
        <f t="shared" si="82"/>
        <v>45</v>
      </c>
      <c r="AA161" s="33">
        <v>0</v>
      </c>
      <c r="AB161" s="33">
        <f t="shared" si="70"/>
        <v>13.5</v>
      </c>
      <c r="AC161" s="33">
        <f t="shared" si="71"/>
        <v>0</v>
      </c>
      <c r="AD161" s="33">
        <f t="shared" si="72"/>
        <v>13.5</v>
      </c>
      <c r="AE161" s="33">
        <f t="shared" si="73"/>
        <v>0</v>
      </c>
      <c r="AF161" s="33">
        <f t="shared" si="74"/>
        <v>5.0400000000000009</v>
      </c>
      <c r="AG161" s="34">
        <f t="shared" si="75"/>
        <v>3048.1303999999964</v>
      </c>
      <c r="AH161" s="40">
        <f t="shared" si="76"/>
        <v>320.70000000000016</v>
      </c>
      <c r="AI161" s="40">
        <f t="shared" si="77"/>
        <v>8</v>
      </c>
      <c r="AJ161" s="40">
        <f t="shared" si="78"/>
        <v>12</v>
      </c>
      <c r="AK161" s="40">
        <f t="shared" si="79"/>
        <v>11</v>
      </c>
      <c r="AL161" s="40">
        <f t="shared" si="80"/>
        <v>8</v>
      </c>
    </row>
    <row r="162" spans="1:38" x14ac:dyDescent="0.25">
      <c r="A162" s="29">
        <v>43</v>
      </c>
      <c r="B162" s="5" t="s">
        <v>124</v>
      </c>
      <c r="C162" s="5" t="s">
        <v>561</v>
      </c>
      <c r="D162" s="5" t="s">
        <v>15</v>
      </c>
      <c r="E162" s="6">
        <v>3.5</v>
      </c>
      <c r="F162" s="5" t="s">
        <v>20</v>
      </c>
      <c r="G162" s="5">
        <f>VLOOKUP(F162,Lookup!$A$8:$B$12,2,0)</f>
        <v>5</v>
      </c>
      <c r="H162" s="5" t="s">
        <v>562</v>
      </c>
      <c r="I162" s="5">
        <v>2</v>
      </c>
      <c r="J162" s="5">
        <f>VLOOKUP(I162,Lookup!$A$15:$B$18,2,0)</f>
        <v>3</v>
      </c>
      <c r="K162" s="5" t="s">
        <v>32</v>
      </c>
      <c r="L162" s="5">
        <f>VLOOKUP(K162,Lookup!$D$21:$E$24,2,0)</f>
        <v>20</v>
      </c>
      <c r="M162" s="6">
        <f t="shared" si="67"/>
        <v>70</v>
      </c>
      <c r="N162" s="5">
        <f>VLOOKUP(K162,Lookup!$A$21:$B$24,2,0)</f>
        <v>1</v>
      </c>
      <c r="O162" s="5" t="s">
        <v>454</v>
      </c>
      <c r="P162" s="5" t="s">
        <v>40</v>
      </c>
      <c r="Q162" s="5">
        <f>VLOOKUP(P162,Lookup!$A$27:$B$31,2,0)</f>
        <v>5</v>
      </c>
      <c r="R162" s="6">
        <f t="shared" si="68"/>
        <v>14</v>
      </c>
      <c r="T162" s="6">
        <v>947</v>
      </c>
      <c r="U162" s="6">
        <f t="shared" si="83"/>
        <v>947</v>
      </c>
      <c r="V162" s="6">
        <f t="shared" si="69"/>
        <v>47.35</v>
      </c>
      <c r="W162" s="6">
        <v>200</v>
      </c>
      <c r="X162" s="18" t="s">
        <v>216</v>
      </c>
      <c r="Y162" s="5" t="s">
        <v>113</v>
      </c>
      <c r="Z162" s="33">
        <f t="shared" si="82"/>
        <v>70</v>
      </c>
      <c r="AA162" s="33">
        <v>0</v>
      </c>
      <c r="AB162" s="33">
        <f t="shared" si="70"/>
        <v>21</v>
      </c>
      <c r="AC162" s="33">
        <f t="shared" si="71"/>
        <v>0</v>
      </c>
      <c r="AD162" s="33">
        <f t="shared" si="72"/>
        <v>21</v>
      </c>
      <c r="AE162" s="33">
        <f t="shared" si="73"/>
        <v>0</v>
      </c>
      <c r="AF162" s="33">
        <f t="shared" si="74"/>
        <v>7.8400000000000007</v>
      </c>
      <c r="AG162" s="34">
        <f t="shared" si="75"/>
        <v>3167.9703999999965</v>
      </c>
      <c r="AH162" s="40">
        <f t="shared" si="76"/>
        <v>324.20000000000016</v>
      </c>
      <c r="AI162" s="40">
        <f t="shared" si="77"/>
        <v>9</v>
      </c>
      <c r="AJ162" s="40">
        <f t="shared" si="78"/>
        <v>11</v>
      </c>
      <c r="AK162" s="40">
        <f t="shared" si="79"/>
        <v>13</v>
      </c>
      <c r="AL162" s="40">
        <f t="shared" si="80"/>
        <v>9</v>
      </c>
    </row>
    <row r="163" spans="1:38" x14ac:dyDescent="0.25">
      <c r="A163" s="5">
        <v>63</v>
      </c>
      <c r="B163" s="5" t="s">
        <v>563</v>
      </c>
      <c r="C163" s="5" t="s">
        <v>564</v>
      </c>
      <c r="D163" s="5" t="s">
        <v>17</v>
      </c>
      <c r="E163" s="6">
        <v>1.5</v>
      </c>
      <c r="F163" s="5" t="s">
        <v>20</v>
      </c>
      <c r="G163" s="5">
        <f>VLOOKUP(F163,Lookup!$A$8:$B$12,2,0)</f>
        <v>5</v>
      </c>
      <c r="H163" s="5" t="s">
        <v>565</v>
      </c>
      <c r="I163" s="5">
        <v>2</v>
      </c>
      <c r="J163" s="5">
        <f>VLOOKUP(I163,Lookup!$A$15:$B$18,2,0)</f>
        <v>3</v>
      </c>
      <c r="K163" s="5" t="s">
        <v>37</v>
      </c>
      <c r="L163" s="5">
        <f>VLOOKUP(K163,Lookup!$D$21:$E$24,2,0)</f>
        <v>2</v>
      </c>
      <c r="M163" s="6">
        <f t="shared" ref="M163:M179" si="84">E163*L163</f>
        <v>3</v>
      </c>
      <c r="N163" s="5">
        <f>VLOOKUP(K163,Lookup!$A$21:$B$24,2,0)</f>
        <v>5</v>
      </c>
      <c r="O163" s="5" t="s">
        <v>116</v>
      </c>
      <c r="P163" s="5" t="s">
        <v>45</v>
      </c>
      <c r="Q163" s="5">
        <f>VLOOKUP(P163,Lookup!$A$27:$B$31,2,0)</f>
        <v>1</v>
      </c>
      <c r="R163" s="6">
        <f t="shared" ref="R163:R179" si="85">G163+J163+N163+Q163</f>
        <v>14</v>
      </c>
      <c r="S163" s="6">
        <f>362*0.1</f>
        <v>36.200000000000003</v>
      </c>
      <c r="T163" s="6">
        <v>252</v>
      </c>
      <c r="U163" s="6">
        <f t="shared" si="83"/>
        <v>288.2</v>
      </c>
      <c r="V163" s="6">
        <f t="shared" ref="V163:V178" si="86">(IF(ISBLANK(U163)=TRUE,20,U163)*E163)/M163</f>
        <v>144.1</v>
      </c>
      <c r="W163" s="6">
        <v>200</v>
      </c>
      <c r="X163" s="18" t="s">
        <v>566</v>
      </c>
      <c r="Z163" s="33">
        <f t="shared" si="82"/>
        <v>3</v>
      </c>
      <c r="AA163" s="33">
        <v>0</v>
      </c>
      <c r="AB163" s="33">
        <f t="shared" ref="AB163:AB179" si="87">Z163*0.3</f>
        <v>0.89999999999999991</v>
      </c>
      <c r="AC163" s="33">
        <f t="shared" ref="AC163:AC179" si="88">AA163*0.3</f>
        <v>0</v>
      </c>
      <c r="AD163" s="33">
        <f t="shared" ref="AD163:AD179" si="89">Z163*0.3</f>
        <v>0.89999999999999991</v>
      </c>
      <c r="AE163" s="33">
        <f t="shared" ref="AE163:AE179" si="90">AA163*0.3</f>
        <v>0</v>
      </c>
      <c r="AF163" s="33">
        <f t="shared" ref="AF163:AF179" si="91">SUM(Z163:AE163)*0.07</f>
        <v>0.33600000000000002</v>
      </c>
      <c r="AG163" s="34">
        <f t="shared" ref="AG163:AG179" si="92">SUM(Z163:AF163)+AG162</f>
        <v>3173.1063999999965</v>
      </c>
      <c r="AH163" s="40">
        <f t="shared" ref="AH163:AH179" si="93">AH162+E163</f>
        <v>325.70000000000016</v>
      </c>
      <c r="AI163" s="40">
        <f t="shared" ref="AI163:AI178" si="94">R163-G163</f>
        <v>9</v>
      </c>
      <c r="AJ163" s="40">
        <f t="shared" ref="AJ163:AJ178" si="95">R163-J163</f>
        <v>11</v>
      </c>
      <c r="AK163" s="40">
        <f t="shared" ref="AK163:AK178" si="96">R163-N163</f>
        <v>9</v>
      </c>
      <c r="AL163" s="40">
        <f t="shared" ref="AL163:AL178" si="97">R163-Q163</f>
        <v>13</v>
      </c>
    </row>
    <row r="164" spans="1:38" x14ac:dyDescent="0.25">
      <c r="A164" s="29">
        <v>64</v>
      </c>
      <c r="B164" s="5" t="s">
        <v>563</v>
      </c>
      <c r="C164" s="5" t="s">
        <v>567</v>
      </c>
      <c r="D164" s="5" t="s">
        <v>18</v>
      </c>
      <c r="E164" s="6">
        <v>1.5</v>
      </c>
      <c r="F164" s="5" t="s">
        <v>24</v>
      </c>
      <c r="G164" s="5">
        <f>VLOOKUP(F164,Lookup!$A$8:$B$12,2,0)</f>
        <v>4</v>
      </c>
      <c r="H164" s="5" t="s">
        <v>568</v>
      </c>
      <c r="I164" s="5">
        <v>2</v>
      </c>
      <c r="J164" s="5">
        <f>VLOOKUP(I164,Lookup!$A$15:$B$18,2,0)</f>
        <v>3</v>
      </c>
      <c r="K164" s="5" t="s">
        <v>37</v>
      </c>
      <c r="L164" s="5">
        <f>VLOOKUP(K164,Lookup!$D$21:$E$24,2,0)</f>
        <v>2</v>
      </c>
      <c r="M164" s="6">
        <f t="shared" si="84"/>
        <v>3</v>
      </c>
      <c r="N164" s="5">
        <f>VLOOKUP(K164,Lookup!$A$21:$B$24,2,0)</f>
        <v>5</v>
      </c>
      <c r="O164" s="5" t="s">
        <v>116</v>
      </c>
      <c r="P164" s="5" t="s">
        <v>44</v>
      </c>
      <c r="Q164" s="5">
        <f>VLOOKUP(P164,Lookup!$A$27:$B$31,2,0)</f>
        <v>2</v>
      </c>
      <c r="R164" s="6">
        <f t="shared" si="85"/>
        <v>14</v>
      </c>
      <c r="S164" s="6">
        <f>362*0.1</f>
        <v>36.200000000000003</v>
      </c>
      <c r="T164" s="6">
        <v>105</v>
      </c>
      <c r="U164" s="6">
        <f t="shared" si="83"/>
        <v>141.19999999999999</v>
      </c>
      <c r="V164" s="6">
        <f t="shared" si="86"/>
        <v>70.599999999999994</v>
      </c>
      <c r="W164" s="6">
        <v>200</v>
      </c>
      <c r="X164" s="18" t="s">
        <v>566</v>
      </c>
      <c r="Z164" s="33">
        <f t="shared" si="82"/>
        <v>3</v>
      </c>
      <c r="AA164" s="33">
        <v>0</v>
      </c>
      <c r="AB164" s="33">
        <f t="shared" si="87"/>
        <v>0.89999999999999991</v>
      </c>
      <c r="AC164" s="33">
        <f t="shared" si="88"/>
        <v>0</v>
      </c>
      <c r="AD164" s="33">
        <f t="shared" si="89"/>
        <v>0.89999999999999991</v>
      </c>
      <c r="AE164" s="33">
        <f t="shared" si="90"/>
        <v>0</v>
      </c>
      <c r="AF164" s="33">
        <f t="shared" si="91"/>
        <v>0.33600000000000002</v>
      </c>
      <c r="AG164" s="34">
        <f t="shared" si="92"/>
        <v>3178.2423999999965</v>
      </c>
      <c r="AH164" s="40">
        <f t="shared" si="93"/>
        <v>327.20000000000016</v>
      </c>
      <c r="AI164" s="40">
        <f t="shared" si="94"/>
        <v>10</v>
      </c>
      <c r="AJ164" s="40">
        <f t="shared" si="95"/>
        <v>11</v>
      </c>
      <c r="AK164" s="40">
        <f t="shared" si="96"/>
        <v>9</v>
      </c>
      <c r="AL164" s="40">
        <f t="shared" si="97"/>
        <v>12</v>
      </c>
    </row>
    <row r="165" spans="1:38" x14ac:dyDescent="0.25">
      <c r="A165" s="5">
        <v>66</v>
      </c>
      <c r="B165" s="5" t="s">
        <v>132</v>
      </c>
      <c r="C165" s="5" t="s">
        <v>569</v>
      </c>
      <c r="D165" s="5" t="s">
        <v>17</v>
      </c>
      <c r="E165" s="6">
        <v>3.7</v>
      </c>
      <c r="F165" s="5" t="s">
        <v>26</v>
      </c>
      <c r="G165" s="5">
        <f>VLOOKUP(F165,Lookup!$A$8:$B$12,2,0)</f>
        <v>1</v>
      </c>
      <c r="H165" s="5" t="s">
        <v>90</v>
      </c>
      <c r="I165" s="5">
        <v>3</v>
      </c>
      <c r="J165" s="5">
        <f>VLOOKUP(I165,Lookup!$A$15:$B$18,2,0)</f>
        <v>5</v>
      </c>
      <c r="K165" s="5" t="s">
        <v>37</v>
      </c>
      <c r="L165" s="5">
        <f>VLOOKUP(K165,Lookup!$D$21:$E$24,2,0)</f>
        <v>2</v>
      </c>
      <c r="M165" s="6">
        <f t="shared" si="84"/>
        <v>7.4</v>
      </c>
      <c r="N165" s="5">
        <f>VLOOKUP(K165,Lookup!$A$21:$B$24,2,0)</f>
        <v>5</v>
      </c>
      <c r="O165" s="5" t="s">
        <v>570</v>
      </c>
      <c r="P165" s="5" t="s">
        <v>43</v>
      </c>
      <c r="Q165" s="5">
        <f>VLOOKUP(P165,Lookup!$A$27:$B$31,2,0)</f>
        <v>3</v>
      </c>
      <c r="R165" s="6">
        <f t="shared" si="85"/>
        <v>14</v>
      </c>
      <c r="T165" s="6">
        <v>289</v>
      </c>
      <c r="U165" s="6">
        <f t="shared" si="83"/>
        <v>289</v>
      </c>
      <c r="V165" s="6">
        <f t="shared" si="86"/>
        <v>144.5</v>
      </c>
      <c r="W165" s="6">
        <v>200</v>
      </c>
      <c r="X165" s="18" t="s">
        <v>566</v>
      </c>
      <c r="Y165" s="5" t="s">
        <v>139</v>
      </c>
      <c r="Z165" s="33">
        <f t="shared" si="82"/>
        <v>7.4</v>
      </c>
      <c r="AA165" s="33">
        <v>0</v>
      </c>
      <c r="AB165" s="33">
        <f t="shared" si="87"/>
        <v>2.2200000000000002</v>
      </c>
      <c r="AC165" s="33">
        <f t="shared" si="88"/>
        <v>0</v>
      </c>
      <c r="AD165" s="33">
        <f t="shared" si="89"/>
        <v>2.2200000000000002</v>
      </c>
      <c r="AE165" s="33">
        <f t="shared" si="90"/>
        <v>0</v>
      </c>
      <c r="AF165" s="33">
        <f t="shared" si="91"/>
        <v>0.8288000000000002</v>
      </c>
      <c r="AG165" s="34">
        <f t="shared" si="92"/>
        <v>3190.9111999999964</v>
      </c>
      <c r="AH165" s="40">
        <f t="shared" si="93"/>
        <v>330.90000000000015</v>
      </c>
      <c r="AI165" s="40">
        <f t="shared" si="94"/>
        <v>13</v>
      </c>
      <c r="AJ165" s="40">
        <f t="shared" si="95"/>
        <v>9</v>
      </c>
      <c r="AK165" s="40">
        <f t="shared" si="96"/>
        <v>9</v>
      </c>
      <c r="AL165" s="40">
        <f t="shared" si="97"/>
        <v>11</v>
      </c>
    </row>
    <row r="166" spans="1:38" x14ac:dyDescent="0.25">
      <c r="A166" s="29">
        <v>76</v>
      </c>
      <c r="B166" s="5" t="s">
        <v>235</v>
      </c>
      <c r="C166" s="5" t="s">
        <v>571</v>
      </c>
      <c r="D166" s="5" t="s">
        <v>15</v>
      </c>
      <c r="E166" s="6">
        <v>4</v>
      </c>
      <c r="F166" s="5" t="s">
        <v>24</v>
      </c>
      <c r="G166" s="5">
        <f>VLOOKUP(F166,Lookup!$A$8:$B$12,2,0)</f>
        <v>4</v>
      </c>
      <c r="H166" s="5" t="s">
        <v>156</v>
      </c>
      <c r="I166" s="5">
        <v>2</v>
      </c>
      <c r="J166" s="5">
        <f>VLOOKUP(I166,Lookup!$A$15:$B$18,2,0)</f>
        <v>3</v>
      </c>
      <c r="K166" s="5" t="s">
        <v>32</v>
      </c>
      <c r="L166" s="5">
        <f>VLOOKUP(K166,Lookup!$D$21:$E$24,2,0)</f>
        <v>20</v>
      </c>
      <c r="M166" s="6">
        <f t="shared" si="84"/>
        <v>80</v>
      </c>
      <c r="N166" s="5">
        <f>VLOOKUP(K166,Lookup!$A$21:$B$24,2,0)</f>
        <v>1</v>
      </c>
      <c r="O166" s="5" t="s">
        <v>237</v>
      </c>
      <c r="P166" s="5" t="s">
        <v>43</v>
      </c>
      <c r="Q166" s="5">
        <f>VLOOKUP(P166,Lookup!$A$27:$B$31,2,0)</f>
        <v>3</v>
      </c>
      <c r="R166" s="6">
        <f t="shared" si="85"/>
        <v>11</v>
      </c>
      <c r="S166" s="6">
        <f>876*0.1</f>
        <v>87.600000000000009</v>
      </c>
      <c r="T166" s="6">
        <v>979</v>
      </c>
      <c r="U166" s="6">
        <f t="shared" si="83"/>
        <v>1066.5999999999999</v>
      </c>
      <c r="V166" s="6">
        <f t="shared" si="86"/>
        <v>53.33</v>
      </c>
      <c r="W166" s="6">
        <v>200</v>
      </c>
      <c r="X166" s="18" t="s">
        <v>572</v>
      </c>
      <c r="Y166" s="5" t="s">
        <v>113</v>
      </c>
      <c r="Z166" s="33">
        <f t="shared" si="82"/>
        <v>80</v>
      </c>
      <c r="AA166" s="33">
        <v>0</v>
      </c>
      <c r="AB166" s="33">
        <f t="shared" si="87"/>
        <v>24</v>
      </c>
      <c r="AC166" s="33">
        <f t="shared" si="88"/>
        <v>0</v>
      </c>
      <c r="AD166" s="33">
        <f t="shared" si="89"/>
        <v>24</v>
      </c>
      <c r="AE166" s="33">
        <f t="shared" si="90"/>
        <v>0</v>
      </c>
      <c r="AF166" s="33">
        <f t="shared" si="91"/>
        <v>8.9600000000000009</v>
      </c>
      <c r="AG166" s="34">
        <f t="shared" si="92"/>
        <v>3327.8711999999964</v>
      </c>
      <c r="AH166" s="40">
        <f t="shared" si="93"/>
        <v>334.90000000000015</v>
      </c>
      <c r="AI166" s="40">
        <f t="shared" si="94"/>
        <v>7</v>
      </c>
      <c r="AJ166" s="40">
        <f t="shared" si="95"/>
        <v>8</v>
      </c>
      <c r="AK166" s="40">
        <f t="shared" si="96"/>
        <v>10</v>
      </c>
      <c r="AL166" s="40">
        <f t="shared" si="97"/>
        <v>8</v>
      </c>
    </row>
    <row r="167" spans="1:38" x14ac:dyDescent="0.25">
      <c r="A167" s="29">
        <v>80</v>
      </c>
      <c r="B167" s="5" t="s">
        <v>573</v>
      </c>
      <c r="C167" s="5" t="s">
        <v>574</v>
      </c>
      <c r="D167" s="5" t="s">
        <v>15</v>
      </c>
      <c r="E167" s="6">
        <v>1</v>
      </c>
      <c r="F167" s="5" t="s">
        <v>20</v>
      </c>
      <c r="G167" s="5">
        <f>VLOOKUP(F167,Lookup!$A$8:$B$12,2,0)</f>
        <v>5</v>
      </c>
      <c r="H167" s="5" t="s">
        <v>575</v>
      </c>
      <c r="I167" s="5">
        <v>2</v>
      </c>
      <c r="J167" s="5">
        <f>VLOOKUP(I167,Lookup!$A$15:$B$18,2,0)</f>
        <v>3</v>
      </c>
      <c r="K167" s="5" t="s">
        <v>35</v>
      </c>
      <c r="L167" s="5">
        <f>VLOOKUP(K167,Lookup!$D$21:$E$24,2,0)</f>
        <v>5</v>
      </c>
      <c r="M167" s="6">
        <f t="shared" si="84"/>
        <v>5</v>
      </c>
      <c r="N167" s="5">
        <f>VLOOKUP(K167,Lookup!$A$21:$B$24,2,0)</f>
        <v>3</v>
      </c>
      <c r="O167" s="5" t="s">
        <v>576</v>
      </c>
      <c r="P167" s="5" t="s">
        <v>42</v>
      </c>
      <c r="Q167" s="5">
        <f>VLOOKUP(P167,Lookup!$A$27:$B$31,2,0)</f>
        <v>4</v>
      </c>
      <c r="R167" s="6">
        <f t="shared" si="85"/>
        <v>15</v>
      </c>
      <c r="T167" s="6">
        <v>980</v>
      </c>
      <c r="U167" s="6">
        <f t="shared" si="83"/>
        <v>980</v>
      </c>
      <c r="V167" s="6">
        <f t="shared" si="86"/>
        <v>196</v>
      </c>
      <c r="W167" s="6">
        <v>200</v>
      </c>
      <c r="X167" s="18" t="s">
        <v>247</v>
      </c>
      <c r="Y167" s="5" t="s">
        <v>577</v>
      </c>
      <c r="Z167" s="33">
        <f t="shared" si="82"/>
        <v>5</v>
      </c>
      <c r="AA167" s="33">
        <v>0</v>
      </c>
      <c r="AB167" s="33">
        <f t="shared" si="87"/>
        <v>1.5</v>
      </c>
      <c r="AC167" s="33">
        <f t="shared" si="88"/>
        <v>0</v>
      </c>
      <c r="AD167" s="33">
        <f t="shared" si="89"/>
        <v>1.5</v>
      </c>
      <c r="AE167" s="33">
        <f t="shared" si="90"/>
        <v>0</v>
      </c>
      <c r="AF167" s="33">
        <f t="shared" si="91"/>
        <v>0.56000000000000005</v>
      </c>
      <c r="AG167" s="34">
        <f t="shared" si="92"/>
        <v>3336.4311999999964</v>
      </c>
      <c r="AH167" s="40">
        <f t="shared" si="93"/>
        <v>335.90000000000015</v>
      </c>
      <c r="AI167" s="40">
        <f t="shared" si="94"/>
        <v>10</v>
      </c>
      <c r="AJ167" s="40">
        <f t="shared" si="95"/>
        <v>12</v>
      </c>
      <c r="AK167" s="40">
        <f t="shared" si="96"/>
        <v>12</v>
      </c>
      <c r="AL167" s="40">
        <f t="shared" si="97"/>
        <v>11</v>
      </c>
    </row>
    <row r="168" spans="1:38" x14ac:dyDescent="0.25">
      <c r="A168" s="5">
        <v>81</v>
      </c>
      <c r="B168" s="5" t="s">
        <v>573</v>
      </c>
      <c r="C168" s="5" t="s">
        <v>578</v>
      </c>
      <c r="D168" s="5" t="s">
        <v>17</v>
      </c>
      <c r="E168" s="6">
        <v>0.8</v>
      </c>
      <c r="F168" s="5" t="s">
        <v>20</v>
      </c>
      <c r="G168" s="5">
        <f>VLOOKUP(F168,Lookup!$A$8:$B$12,2,0)</f>
        <v>5</v>
      </c>
      <c r="H168" s="5" t="s">
        <v>579</v>
      </c>
      <c r="I168" s="5">
        <v>2</v>
      </c>
      <c r="J168" s="5">
        <f>VLOOKUP(I168,Lookup!$A$15:$B$18,2,0)</f>
        <v>3</v>
      </c>
      <c r="K168" s="5" t="s">
        <v>37</v>
      </c>
      <c r="L168" s="5">
        <f>VLOOKUP(K168,Lookup!$D$21:$E$24,2,0)</f>
        <v>2</v>
      </c>
      <c r="M168" s="6">
        <f t="shared" si="84"/>
        <v>1.6</v>
      </c>
      <c r="N168" s="5">
        <f>VLOOKUP(K168,Lookup!$A$21:$B$24,2,0)</f>
        <v>5</v>
      </c>
      <c r="O168" s="5" t="s">
        <v>580</v>
      </c>
      <c r="P168" s="5" t="s">
        <v>42</v>
      </c>
      <c r="Q168" s="5">
        <f>VLOOKUP(P168,Lookup!$A$27:$B$31,2,0)</f>
        <v>4</v>
      </c>
      <c r="R168" s="6">
        <f t="shared" si="85"/>
        <v>17</v>
      </c>
      <c r="T168" s="6">
        <v>289</v>
      </c>
      <c r="U168" s="6">
        <f t="shared" si="83"/>
        <v>289</v>
      </c>
      <c r="V168" s="6">
        <f t="shared" si="86"/>
        <v>144.5</v>
      </c>
      <c r="W168" s="6">
        <v>200</v>
      </c>
      <c r="X168" s="18" t="s">
        <v>581</v>
      </c>
      <c r="Z168" s="33">
        <f t="shared" si="82"/>
        <v>1.6</v>
      </c>
      <c r="AA168" s="33">
        <v>0</v>
      </c>
      <c r="AB168" s="33">
        <f t="shared" si="87"/>
        <v>0.48</v>
      </c>
      <c r="AC168" s="33">
        <f t="shared" si="88"/>
        <v>0</v>
      </c>
      <c r="AD168" s="33">
        <f t="shared" si="89"/>
        <v>0.48</v>
      </c>
      <c r="AE168" s="33">
        <f t="shared" si="90"/>
        <v>0</v>
      </c>
      <c r="AF168" s="33">
        <f t="shared" si="91"/>
        <v>0.17920000000000003</v>
      </c>
      <c r="AG168" s="34">
        <f t="shared" si="92"/>
        <v>3339.1703999999963</v>
      </c>
      <c r="AH168" s="40">
        <f t="shared" si="93"/>
        <v>336.70000000000016</v>
      </c>
      <c r="AI168" s="40">
        <f t="shared" si="94"/>
        <v>12</v>
      </c>
      <c r="AJ168" s="40">
        <f t="shared" si="95"/>
        <v>14</v>
      </c>
      <c r="AK168" s="40">
        <f t="shared" si="96"/>
        <v>12</v>
      </c>
      <c r="AL168" s="40">
        <f t="shared" si="97"/>
        <v>13</v>
      </c>
    </row>
    <row r="169" spans="1:38" x14ac:dyDescent="0.25">
      <c r="A169" s="29">
        <v>82</v>
      </c>
      <c r="B169" s="5" t="s">
        <v>573</v>
      </c>
      <c r="C169" s="5" t="s">
        <v>582</v>
      </c>
      <c r="D169" s="5" t="s">
        <v>17</v>
      </c>
      <c r="E169" s="6">
        <v>0.5</v>
      </c>
      <c r="F169" s="5" t="s">
        <v>20</v>
      </c>
      <c r="G169" s="5">
        <f>VLOOKUP(F169,Lookup!$A$8:$B$12,2,0)</f>
        <v>5</v>
      </c>
      <c r="H169" s="5" t="s">
        <v>583</v>
      </c>
      <c r="I169" s="5">
        <v>2</v>
      </c>
      <c r="J169" s="5">
        <f>VLOOKUP(I169,Lookup!$A$15:$B$18,2,0)</f>
        <v>3</v>
      </c>
      <c r="K169" s="5" t="s">
        <v>35</v>
      </c>
      <c r="L169" s="5">
        <f>VLOOKUP(K169,Lookup!$D$21:$E$24,2,0)</f>
        <v>5</v>
      </c>
      <c r="M169" s="6">
        <f t="shared" si="84"/>
        <v>2.5</v>
      </c>
      <c r="N169" s="5">
        <f>VLOOKUP(K169,Lookup!$A$21:$B$24,2,0)</f>
        <v>3</v>
      </c>
      <c r="O169" s="5" t="s">
        <v>584</v>
      </c>
      <c r="P169" s="5" t="s">
        <v>40</v>
      </c>
      <c r="Q169" s="5">
        <f>VLOOKUP(P169,Lookup!$A$27:$B$31,2,0)</f>
        <v>5</v>
      </c>
      <c r="R169" s="6">
        <f t="shared" si="85"/>
        <v>16</v>
      </c>
      <c r="T169" s="6">
        <v>1235</v>
      </c>
      <c r="U169" s="6">
        <f t="shared" si="83"/>
        <v>1235</v>
      </c>
      <c r="V169" s="6">
        <f t="shared" si="86"/>
        <v>247</v>
      </c>
      <c r="W169" s="6">
        <v>200</v>
      </c>
      <c r="X169" s="18" t="s">
        <v>581</v>
      </c>
      <c r="Z169" s="33">
        <f t="shared" si="82"/>
        <v>2.5</v>
      </c>
      <c r="AA169" s="33">
        <v>0</v>
      </c>
      <c r="AB169" s="33">
        <f t="shared" si="87"/>
        <v>0.75</v>
      </c>
      <c r="AC169" s="33">
        <f t="shared" si="88"/>
        <v>0</v>
      </c>
      <c r="AD169" s="33">
        <f t="shared" si="89"/>
        <v>0.75</v>
      </c>
      <c r="AE169" s="33">
        <f t="shared" si="90"/>
        <v>0</v>
      </c>
      <c r="AF169" s="33">
        <f t="shared" si="91"/>
        <v>0.28000000000000003</v>
      </c>
      <c r="AG169" s="34">
        <f t="shared" si="92"/>
        <v>3343.4503999999965</v>
      </c>
      <c r="AH169" s="40">
        <f t="shared" si="93"/>
        <v>337.20000000000016</v>
      </c>
      <c r="AI169" s="40">
        <f t="shared" si="94"/>
        <v>11</v>
      </c>
      <c r="AJ169" s="40">
        <f t="shared" si="95"/>
        <v>13</v>
      </c>
      <c r="AK169" s="40">
        <f t="shared" si="96"/>
        <v>13</v>
      </c>
      <c r="AL169" s="40">
        <f t="shared" si="97"/>
        <v>11</v>
      </c>
    </row>
    <row r="170" spans="1:38" x14ac:dyDescent="0.25">
      <c r="A170" s="29">
        <v>83</v>
      </c>
      <c r="B170" s="5" t="s">
        <v>573</v>
      </c>
      <c r="C170" s="5" t="s">
        <v>585</v>
      </c>
      <c r="D170" s="5" t="s">
        <v>17</v>
      </c>
      <c r="E170" s="6">
        <v>1</v>
      </c>
      <c r="F170" s="5" t="s">
        <v>20</v>
      </c>
      <c r="G170" s="5">
        <f>VLOOKUP(F170,Lookup!$A$8:$B$12,2,0)</f>
        <v>5</v>
      </c>
      <c r="H170" s="5" t="s">
        <v>586</v>
      </c>
      <c r="I170" s="5">
        <v>2</v>
      </c>
      <c r="J170" s="5">
        <f>VLOOKUP(I170,Lookup!$A$15:$B$18,2,0)</f>
        <v>3</v>
      </c>
      <c r="K170" s="5" t="s">
        <v>33</v>
      </c>
      <c r="L170" s="5">
        <f>VLOOKUP(K170,Lookup!$D$21:$E$24,2,0)</f>
        <v>10</v>
      </c>
      <c r="M170" s="6">
        <f t="shared" si="84"/>
        <v>10</v>
      </c>
      <c r="N170" s="5">
        <f>VLOOKUP(K170,Lookup!$A$21:$B$24,2,0)</f>
        <v>2</v>
      </c>
      <c r="O170" s="5" t="s">
        <v>587</v>
      </c>
      <c r="P170" s="5" t="s">
        <v>43</v>
      </c>
      <c r="Q170" s="5">
        <f>VLOOKUP(P170,Lookup!$A$27:$B$31,2,0)</f>
        <v>3</v>
      </c>
      <c r="R170" s="6">
        <f t="shared" si="85"/>
        <v>13</v>
      </c>
      <c r="T170" s="6">
        <v>757</v>
      </c>
      <c r="U170" s="6">
        <f t="shared" si="83"/>
        <v>757</v>
      </c>
      <c r="V170" s="6">
        <f t="shared" si="86"/>
        <v>75.7</v>
      </c>
      <c r="W170" s="6">
        <v>200</v>
      </c>
      <c r="X170" s="18" t="s">
        <v>588</v>
      </c>
      <c r="Y170" s="5" t="s">
        <v>589</v>
      </c>
      <c r="Z170" s="33">
        <f t="shared" si="82"/>
        <v>10</v>
      </c>
      <c r="AA170" s="33">
        <v>0</v>
      </c>
      <c r="AB170" s="33">
        <f t="shared" si="87"/>
        <v>3</v>
      </c>
      <c r="AC170" s="33">
        <f t="shared" si="88"/>
        <v>0</v>
      </c>
      <c r="AD170" s="33">
        <f t="shared" si="89"/>
        <v>3</v>
      </c>
      <c r="AE170" s="33">
        <f t="shared" si="90"/>
        <v>0</v>
      </c>
      <c r="AF170" s="33">
        <f t="shared" si="91"/>
        <v>1.1200000000000001</v>
      </c>
      <c r="AG170" s="34">
        <f t="shared" si="92"/>
        <v>3360.5703999999964</v>
      </c>
      <c r="AH170" s="40">
        <f t="shared" si="93"/>
        <v>338.20000000000016</v>
      </c>
      <c r="AI170" s="40">
        <f t="shared" si="94"/>
        <v>8</v>
      </c>
      <c r="AJ170" s="40">
        <f t="shared" si="95"/>
        <v>10</v>
      </c>
      <c r="AK170" s="40">
        <f t="shared" si="96"/>
        <v>11</v>
      </c>
      <c r="AL170" s="40">
        <f t="shared" si="97"/>
        <v>10</v>
      </c>
    </row>
    <row r="171" spans="1:38" x14ac:dyDescent="0.25">
      <c r="A171" s="5">
        <v>84</v>
      </c>
      <c r="B171" s="5" t="s">
        <v>573</v>
      </c>
      <c r="C171" s="5" t="s">
        <v>590</v>
      </c>
      <c r="D171" s="5" t="s">
        <v>17</v>
      </c>
      <c r="E171" s="6">
        <v>0.5</v>
      </c>
      <c r="F171" s="5" t="s">
        <v>20</v>
      </c>
      <c r="G171" s="5">
        <f>VLOOKUP(F171,Lookup!$A$8:$B$12,2,0)</f>
        <v>5</v>
      </c>
      <c r="H171" s="5" t="s">
        <v>586</v>
      </c>
      <c r="I171" s="5">
        <v>2</v>
      </c>
      <c r="J171" s="5">
        <f>VLOOKUP(I171,Lookup!$A$15:$B$18,2,0)</f>
        <v>3</v>
      </c>
      <c r="K171" s="5" t="s">
        <v>37</v>
      </c>
      <c r="L171" s="5">
        <f>VLOOKUP(K171,Lookup!$D$21:$E$24,2,0)</f>
        <v>2</v>
      </c>
      <c r="M171" s="6">
        <f t="shared" si="84"/>
        <v>1</v>
      </c>
      <c r="N171" s="5">
        <f>VLOOKUP(K171,Lookup!$A$21:$B$24,2,0)</f>
        <v>5</v>
      </c>
      <c r="O171" s="5" t="s">
        <v>220</v>
      </c>
      <c r="P171" s="5" t="s">
        <v>43</v>
      </c>
      <c r="Q171" s="5">
        <f>VLOOKUP(P171,Lookup!$A$27:$B$31,2,0)</f>
        <v>3</v>
      </c>
      <c r="R171" s="6">
        <f t="shared" si="85"/>
        <v>16</v>
      </c>
      <c r="T171" s="6">
        <v>563</v>
      </c>
      <c r="U171" s="6">
        <f t="shared" si="83"/>
        <v>563</v>
      </c>
      <c r="V171" s="6">
        <f t="shared" si="86"/>
        <v>281.5</v>
      </c>
      <c r="W171" s="6">
        <v>200</v>
      </c>
      <c r="X171" s="18" t="s">
        <v>581</v>
      </c>
      <c r="Z171" s="33">
        <f t="shared" si="82"/>
        <v>1</v>
      </c>
      <c r="AA171" s="33">
        <v>0</v>
      </c>
      <c r="AB171" s="33">
        <f t="shared" si="87"/>
        <v>0.3</v>
      </c>
      <c r="AC171" s="33">
        <f t="shared" si="88"/>
        <v>0</v>
      </c>
      <c r="AD171" s="33">
        <f t="shared" si="89"/>
        <v>0.3</v>
      </c>
      <c r="AE171" s="33">
        <f t="shared" si="90"/>
        <v>0</v>
      </c>
      <c r="AF171" s="33">
        <f t="shared" si="91"/>
        <v>0.11200000000000002</v>
      </c>
      <c r="AG171" s="34">
        <f t="shared" si="92"/>
        <v>3362.2823999999964</v>
      </c>
      <c r="AH171" s="40">
        <f t="shared" si="93"/>
        <v>338.70000000000016</v>
      </c>
      <c r="AI171" s="40">
        <f t="shared" si="94"/>
        <v>11</v>
      </c>
      <c r="AJ171" s="40">
        <f t="shared" si="95"/>
        <v>13</v>
      </c>
      <c r="AK171" s="40">
        <f t="shared" si="96"/>
        <v>11</v>
      </c>
      <c r="AL171" s="40">
        <f t="shared" si="97"/>
        <v>13</v>
      </c>
    </row>
    <row r="172" spans="1:38" x14ac:dyDescent="0.25">
      <c r="A172" s="29">
        <v>85</v>
      </c>
      <c r="B172" s="5" t="s">
        <v>573</v>
      </c>
      <c r="C172" s="5" t="s">
        <v>591</v>
      </c>
      <c r="D172" s="5" t="s">
        <v>17</v>
      </c>
      <c r="E172" s="6">
        <v>0.5</v>
      </c>
      <c r="F172" s="5" t="s">
        <v>20</v>
      </c>
      <c r="G172" s="5">
        <f>VLOOKUP(F172,Lookup!$A$8:$B$12,2,0)</f>
        <v>5</v>
      </c>
      <c r="H172" s="5" t="s">
        <v>592</v>
      </c>
      <c r="I172" s="5">
        <v>1</v>
      </c>
      <c r="J172" s="5">
        <f>VLOOKUP(I172,Lookup!$A$15:$B$18,2,0)</f>
        <v>1</v>
      </c>
      <c r="K172" s="5" t="s">
        <v>33</v>
      </c>
      <c r="L172" s="5">
        <f>VLOOKUP(K172,Lookup!$D$21:$E$24,2,0)</f>
        <v>10</v>
      </c>
      <c r="M172" s="6">
        <f t="shared" si="84"/>
        <v>5</v>
      </c>
      <c r="N172" s="5">
        <f>VLOOKUP(K172,Lookup!$A$21:$B$24,2,0)</f>
        <v>2</v>
      </c>
      <c r="O172" s="5" t="s">
        <v>593</v>
      </c>
      <c r="P172" s="5" t="s">
        <v>40</v>
      </c>
      <c r="Q172" s="5">
        <f>VLOOKUP(P172,Lookup!$A$27:$B$31,2,0)</f>
        <v>5</v>
      </c>
      <c r="R172" s="6">
        <f t="shared" si="85"/>
        <v>13</v>
      </c>
      <c r="T172" s="6">
        <v>367</v>
      </c>
      <c r="U172" s="6">
        <f t="shared" si="83"/>
        <v>367</v>
      </c>
      <c r="V172" s="6">
        <f t="shared" si="86"/>
        <v>36.700000000000003</v>
      </c>
      <c r="W172" s="6">
        <v>200</v>
      </c>
      <c r="X172" s="18" t="s">
        <v>588</v>
      </c>
      <c r="Z172" s="33">
        <f t="shared" si="82"/>
        <v>5</v>
      </c>
      <c r="AA172" s="33">
        <v>0</v>
      </c>
      <c r="AB172" s="33">
        <f t="shared" si="87"/>
        <v>1.5</v>
      </c>
      <c r="AC172" s="33">
        <f t="shared" si="88"/>
        <v>0</v>
      </c>
      <c r="AD172" s="33">
        <f t="shared" si="89"/>
        <v>1.5</v>
      </c>
      <c r="AE172" s="33">
        <f t="shared" si="90"/>
        <v>0</v>
      </c>
      <c r="AF172" s="33">
        <f t="shared" si="91"/>
        <v>0.56000000000000005</v>
      </c>
      <c r="AG172" s="34">
        <f t="shared" si="92"/>
        <v>3370.8423999999964</v>
      </c>
      <c r="AH172" s="40">
        <f t="shared" si="93"/>
        <v>339.20000000000016</v>
      </c>
      <c r="AI172" s="40">
        <f t="shared" si="94"/>
        <v>8</v>
      </c>
      <c r="AJ172" s="40">
        <f t="shared" si="95"/>
        <v>12</v>
      </c>
      <c r="AK172" s="40">
        <f t="shared" si="96"/>
        <v>11</v>
      </c>
      <c r="AL172" s="40">
        <f t="shared" si="97"/>
        <v>8</v>
      </c>
    </row>
    <row r="173" spans="1:38" x14ac:dyDescent="0.25">
      <c r="A173" s="29">
        <v>91</v>
      </c>
      <c r="B173" s="5" t="s">
        <v>253</v>
      </c>
      <c r="C173" s="5" t="s">
        <v>594</v>
      </c>
      <c r="D173" s="5" t="s">
        <v>18</v>
      </c>
      <c r="E173" s="6">
        <v>0.5</v>
      </c>
      <c r="F173" s="5" t="s">
        <v>26</v>
      </c>
      <c r="G173" s="5">
        <f>VLOOKUP(F173,Lookup!$A$8:$B$12,2,0)</f>
        <v>1</v>
      </c>
      <c r="H173" s="5" t="s">
        <v>259</v>
      </c>
      <c r="I173" s="5">
        <v>3</v>
      </c>
      <c r="J173" s="5">
        <f>VLOOKUP(I173,Lookup!$A$15:$B$18,2,0)</f>
        <v>5</v>
      </c>
      <c r="K173" s="5" t="s">
        <v>37</v>
      </c>
      <c r="L173" s="5">
        <f>VLOOKUP(K173,Lookup!$D$21:$E$24,2,0)</f>
        <v>2</v>
      </c>
      <c r="M173" s="6">
        <f t="shared" si="84"/>
        <v>1</v>
      </c>
      <c r="N173" s="5">
        <f>VLOOKUP(K173,Lookup!$A$21:$B$24,2,0)</f>
        <v>5</v>
      </c>
      <c r="O173" s="5" t="s">
        <v>256</v>
      </c>
      <c r="P173" s="5" t="s">
        <v>45</v>
      </c>
      <c r="Q173" s="5">
        <f>VLOOKUP(P173,Lookup!$A$27:$B$31,2,0)</f>
        <v>1</v>
      </c>
      <c r="R173" s="6">
        <f t="shared" si="85"/>
        <v>12</v>
      </c>
      <c r="T173" s="6">
        <v>521</v>
      </c>
      <c r="U173" s="6">
        <f t="shared" si="83"/>
        <v>521</v>
      </c>
      <c r="V173" s="6">
        <f t="shared" si="86"/>
        <v>260.5</v>
      </c>
      <c r="W173" s="6">
        <v>200</v>
      </c>
      <c r="X173" s="18" t="s">
        <v>595</v>
      </c>
      <c r="Z173" s="33">
        <f t="shared" si="82"/>
        <v>1</v>
      </c>
      <c r="AA173" s="33">
        <v>0</v>
      </c>
      <c r="AB173" s="33">
        <f t="shared" si="87"/>
        <v>0.3</v>
      </c>
      <c r="AC173" s="33">
        <f t="shared" si="88"/>
        <v>0</v>
      </c>
      <c r="AD173" s="33">
        <f t="shared" si="89"/>
        <v>0.3</v>
      </c>
      <c r="AE173" s="33">
        <f t="shared" si="90"/>
        <v>0</v>
      </c>
      <c r="AF173" s="33">
        <f t="shared" si="91"/>
        <v>0.11200000000000002</v>
      </c>
      <c r="AG173" s="34">
        <f t="shared" si="92"/>
        <v>3372.5543999999963</v>
      </c>
      <c r="AH173" s="40">
        <f t="shared" si="93"/>
        <v>339.70000000000016</v>
      </c>
      <c r="AI173" s="40">
        <f t="shared" si="94"/>
        <v>11</v>
      </c>
      <c r="AJ173" s="40">
        <f t="shared" si="95"/>
        <v>7</v>
      </c>
      <c r="AK173" s="40">
        <f t="shared" si="96"/>
        <v>7</v>
      </c>
      <c r="AL173" s="40">
        <f t="shared" si="97"/>
        <v>11</v>
      </c>
    </row>
    <row r="174" spans="1:38" x14ac:dyDescent="0.25">
      <c r="A174" s="29">
        <v>92</v>
      </c>
      <c r="B174" s="5" t="s">
        <v>253</v>
      </c>
      <c r="C174" s="5" t="s">
        <v>596</v>
      </c>
      <c r="D174" s="5" t="s">
        <v>18</v>
      </c>
      <c r="E174" s="6">
        <v>1.3</v>
      </c>
      <c r="F174" s="5" t="s">
        <v>24</v>
      </c>
      <c r="G174" s="5">
        <f>VLOOKUP(F174,Lookup!$A$8:$B$12,2,0)</f>
        <v>4</v>
      </c>
      <c r="H174" s="5" t="s">
        <v>597</v>
      </c>
      <c r="I174" s="5">
        <v>3</v>
      </c>
      <c r="J174" s="5">
        <f>VLOOKUP(I174,Lookup!$A$15:$B$18,2,0)</f>
        <v>5</v>
      </c>
      <c r="K174" s="5" t="s">
        <v>37</v>
      </c>
      <c r="L174" s="5">
        <f>VLOOKUP(K174,Lookup!$D$21:$E$24,2,0)</f>
        <v>2</v>
      </c>
      <c r="M174" s="6">
        <f t="shared" si="84"/>
        <v>2.6</v>
      </c>
      <c r="N174" s="5">
        <f>VLOOKUP(K174,Lookup!$A$21:$B$24,2,0)</f>
        <v>5</v>
      </c>
      <c r="O174" s="5" t="s">
        <v>256</v>
      </c>
      <c r="P174" s="5" t="s">
        <v>43</v>
      </c>
      <c r="Q174" s="5">
        <f>VLOOKUP(P174,Lookup!$A$27:$B$31,2,0)</f>
        <v>3</v>
      </c>
      <c r="R174" s="6">
        <f t="shared" si="85"/>
        <v>17</v>
      </c>
      <c r="T174" s="6">
        <v>548</v>
      </c>
      <c r="U174" s="6">
        <f t="shared" si="83"/>
        <v>548</v>
      </c>
      <c r="V174" s="6">
        <f t="shared" si="86"/>
        <v>274</v>
      </c>
      <c r="W174" s="6">
        <v>200</v>
      </c>
      <c r="X174" s="18" t="s">
        <v>598</v>
      </c>
      <c r="Z174" s="33">
        <f t="shared" si="82"/>
        <v>2.6</v>
      </c>
      <c r="AA174" s="33">
        <v>0</v>
      </c>
      <c r="AB174" s="33">
        <f t="shared" si="87"/>
        <v>0.78</v>
      </c>
      <c r="AC174" s="33">
        <f t="shared" si="88"/>
        <v>0</v>
      </c>
      <c r="AD174" s="33">
        <f t="shared" si="89"/>
        <v>0.78</v>
      </c>
      <c r="AE174" s="33">
        <f t="shared" si="90"/>
        <v>0</v>
      </c>
      <c r="AF174" s="33">
        <f t="shared" si="91"/>
        <v>0.29120000000000001</v>
      </c>
      <c r="AG174" s="34">
        <f t="shared" si="92"/>
        <v>3377.0055999999963</v>
      </c>
      <c r="AH174" s="40">
        <f t="shared" si="93"/>
        <v>341.00000000000017</v>
      </c>
      <c r="AI174" s="40">
        <f t="shared" si="94"/>
        <v>13</v>
      </c>
      <c r="AJ174" s="40">
        <f t="shared" si="95"/>
        <v>12</v>
      </c>
      <c r="AK174" s="40">
        <f t="shared" si="96"/>
        <v>12</v>
      </c>
      <c r="AL174" s="40">
        <f t="shared" si="97"/>
        <v>14</v>
      </c>
    </row>
    <row r="175" spans="1:38" x14ac:dyDescent="0.25">
      <c r="A175" s="5">
        <v>93</v>
      </c>
      <c r="B175" s="5" t="s">
        <v>253</v>
      </c>
      <c r="C175" s="5" t="s">
        <v>599</v>
      </c>
      <c r="D175" s="5" t="s">
        <v>17</v>
      </c>
      <c r="E175" s="6">
        <v>0.8</v>
      </c>
      <c r="F175" s="5" t="s">
        <v>26</v>
      </c>
      <c r="G175" s="5">
        <f>VLOOKUP(F175,Lookup!$A$8:$B$12,2,0)</f>
        <v>1</v>
      </c>
      <c r="H175" s="5" t="s">
        <v>600</v>
      </c>
      <c r="I175" s="5">
        <v>3</v>
      </c>
      <c r="J175" s="5">
        <f>VLOOKUP(I175,Lookup!$A$15:$B$18,2,0)</f>
        <v>5</v>
      </c>
      <c r="K175" s="5" t="s">
        <v>37</v>
      </c>
      <c r="L175" s="5">
        <f>VLOOKUP(K175,Lookup!$D$21:$E$24,2,0)</f>
        <v>2</v>
      </c>
      <c r="M175" s="6">
        <f t="shared" si="84"/>
        <v>1.6</v>
      </c>
      <c r="N175" s="5">
        <f>VLOOKUP(K175,Lookup!$A$21:$B$24,2,0)</f>
        <v>5</v>
      </c>
      <c r="O175" s="5" t="s">
        <v>256</v>
      </c>
      <c r="P175" s="5" t="s">
        <v>45</v>
      </c>
      <c r="Q175" s="5">
        <f>VLOOKUP(P175,Lookup!$A$27:$B$31,2,0)</f>
        <v>1</v>
      </c>
      <c r="R175" s="6">
        <f t="shared" si="85"/>
        <v>12</v>
      </c>
      <c r="T175" s="6">
        <v>602</v>
      </c>
      <c r="U175" s="6">
        <f t="shared" si="83"/>
        <v>602</v>
      </c>
      <c r="V175" s="6">
        <f t="shared" si="86"/>
        <v>301</v>
      </c>
      <c r="W175" s="6">
        <v>200</v>
      </c>
      <c r="X175" s="18" t="s">
        <v>595</v>
      </c>
      <c r="Z175" s="33">
        <f t="shared" si="82"/>
        <v>1.6</v>
      </c>
      <c r="AA175" s="33">
        <v>0</v>
      </c>
      <c r="AB175" s="33">
        <f t="shared" si="87"/>
        <v>0.48</v>
      </c>
      <c r="AC175" s="33">
        <f t="shared" si="88"/>
        <v>0</v>
      </c>
      <c r="AD175" s="33">
        <f t="shared" si="89"/>
        <v>0.48</v>
      </c>
      <c r="AE175" s="33">
        <f t="shared" si="90"/>
        <v>0</v>
      </c>
      <c r="AF175" s="33">
        <f t="shared" si="91"/>
        <v>0.17920000000000003</v>
      </c>
      <c r="AG175" s="34">
        <f t="shared" si="92"/>
        <v>3379.7447999999963</v>
      </c>
      <c r="AH175" s="40">
        <f t="shared" si="93"/>
        <v>341.80000000000018</v>
      </c>
      <c r="AI175" s="40">
        <f t="shared" si="94"/>
        <v>11</v>
      </c>
      <c r="AJ175" s="40">
        <f t="shared" si="95"/>
        <v>7</v>
      </c>
      <c r="AK175" s="40">
        <f t="shared" si="96"/>
        <v>7</v>
      </c>
      <c r="AL175" s="40">
        <f t="shared" si="97"/>
        <v>11</v>
      </c>
    </row>
    <row r="176" spans="1:38" x14ac:dyDescent="0.25">
      <c r="A176" s="29">
        <v>94</v>
      </c>
      <c r="B176" s="5" t="s">
        <v>253</v>
      </c>
      <c r="C176" s="5" t="s">
        <v>601</v>
      </c>
      <c r="D176" s="5" t="s">
        <v>17</v>
      </c>
      <c r="E176" s="6">
        <v>0.7</v>
      </c>
      <c r="F176" s="5" t="s">
        <v>26</v>
      </c>
      <c r="G176" s="5">
        <f>VLOOKUP(F176,Lookup!$A$8:$B$12,2,0)</f>
        <v>1</v>
      </c>
      <c r="H176" s="5" t="s">
        <v>600</v>
      </c>
      <c r="I176" s="5">
        <v>3</v>
      </c>
      <c r="J176" s="5">
        <f>VLOOKUP(I176,Lookup!$A$15:$B$18,2,0)</f>
        <v>5</v>
      </c>
      <c r="K176" s="5" t="s">
        <v>37</v>
      </c>
      <c r="L176" s="5">
        <f>VLOOKUP(K176,Lookup!$D$21:$E$24,2,0)</f>
        <v>2</v>
      </c>
      <c r="M176" s="6">
        <f t="shared" si="84"/>
        <v>1.4</v>
      </c>
      <c r="N176" s="5">
        <f>VLOOKUP(K176,Lookup!$A$21:$B$24,2,0)</f>
        <v>5</v>
      </c>
      <c r="O176" s="5" t="s">
        <v>602</v>
      </c>
      <c r="P176" s="5" t="s">
        <v>44</v>
      </c>
      <c r="Q176" s="5">
        <f>VLOOKUP(P176,Lookup!$A$27:$B$31,2,0)</f>
        <v>2</v>
      </c>
      <c r="R176" s="6">
        <f t="shared" si="85"/>
        <v>13</v>
      </c>
      <c r="T176" s="6">
        <v>265</v>
      </c>
      <c r="U176" s="6">
        <f t="shared" si="83"/>
        <v>265</v>
      </c>
      <c r="V176" s="6">
        <f t="shared" si="86"/>
        <v>132.5</v>
      </c>
      <c r="W176" s="6">
        <v>200</v>
      </c>
      <c r="X176" s="18" t="s">
        <v>595</v>
      </c>
      <c r="Z176" s="33">
        <f t="shared" si="82"/>
        <v>1.4</v>
      </c>
      <c r="AA176" s="33">
        <v>0</v>
      </c>
      <c r="AB176" s="33">
        <f t="shared" si="87"/>
        <v>0.42</v>
      </c>
      <c r="AC176" s="33">
        <f t="shared" si="88"/>
        <v>0</v>
      </c>
      <c r="AD176" s="33">
        <f t="shared" si="89"/>
        <v>0.42</v>
      </c>
      <c r="AE176" s="33">
        <f t="shared" si="90"/>
        <v>0</v>
      </c>
      <c r="AF176" s="33">
        <f t="shared" si="91"/>
        <v>0.15679999999999999</v>
      </c>
      <c r="AG176" s="34">
        <f t="shared" si="92"/>
        <v>3382.1415999999963</v>
      </c>
      <c r="AH176" s="40">
        <f t="shared" si="93"/>
        <v>342.50000000000017</v>
      </c>
      <c r="AI176" s="40">
        <f t="shared" si="94"/>
        <v>12</v>
      </c>
      <c r="AJ176" s="40">
        <f t="shared" si="95"/>
        <v>8</v>
      </c>
      <c r="AK176" s="40">
        <f t="shared" si="96"/>
        <v>8</v>
      </c>
      <c r="AL176" s="40">
        <f t="shared" si="97"/>
        <v>11</v>
      </c>
    </row>
    <row r="177" spans="1:38" x14ac:dyDescent="0.25">
      <c r="A177" s="29">
        <v>107</v>
      </c>
      <c r="B177" s="5" t="s">
        <v>422</v>
      </c>
      <c r="C177" s="5" t="s">
        <v>603</v>
      </c>
      <c r="D177" s="5" t="s">
        <v>17</v>
      </c>
      <c r="E177" s="6">
        <v>2.5</v>
      </c>
      <c r="F177" s="5" t="s">
        <v>26</v>
      </c>
      <c r="G177" s="5">
        <f>VLOOKUP(F177,Lookup!$A$8:$B$12,2,0)</f>
        <v>1</v>
      </c>
      <c r="H177" s="5" t="s">
        <v>530</v>
      </c>
      <c r="I177" s="5">
        <v>2</v>
      </c>
      <c r="J177" s="5">
        <f>VLOOKUP(I177,Lookup!$A$15:$B$18,2,0)</f>
        <v>3</v>
      </c>
      <c r="K177" s="5" t="s">
        <v>37</v>
      </c>
      <c r="L177" s="5">
        <f>VLOOKUP(K177,Lookup!$D$21:$E$24,2,0)</f>
        <v>2</v>
      </c>
      <c r="M177" s="6">
        <f t="shared" si="84"/>
        <v>5</v>
      </c>
      <c r="N177" s="5">
        <f>VLOOKUP(K177,Lookup!$A$21:$B$24,2,0)</f>
        <v>5</v>
      </c>
      <c r="O177" s="5" t="s">
        <v>604</v>
      </c>
      <c r="P177" s="5" t="s">
        <v>44</v>
      </c>
      <c r="Q177" s="5">
        <f>VLOOKUP(P177,Lookup!$A$27:$B$31,2,0)</f>
        <v>2</v>
      </c>
      <c r="R177" s="6">
        <f t="shared" si="85"/>
        <v>11</v>
      </c>
      <c r="S177" s="6">
        <f>772*0.1</f>
        <v>77.2</v>
      </c>
      <c r="T177" s="6">
        <v>129</v>
      </c>
      <c r="U177" s="6">
        <f t="shared" si="83"/>
        <v>206.2</v>
      </c>
      <c r="V177" s="6">
        <f t="shared" si="86"/>
        <v>103.1</v>
      </c>
      <c r="W177" s="6">
        <v>200</v>
      </c>
      <c r="X177" s="18" t="s">
        <v>605</v>
      </c>
      <c r="Z177" s="33">
        <f t="shared" si="82"/>
        <v>5</v>
      </c>
      <c r="AA177" s="33">
        <v>0</v>
      </c>
      <c r="AB177" s="33">
        <f t="shared" si="87"/>
        <v>1.5</v>
      </c>
      <c r="AC177" s="33">
        <f t="shared" si="88"/>
        <v>0</v>
      </c>
      <c r="AD177" s="33">
        <f t="shared" si="89"/>
        <v>1.5</v>
      </c>
      <c r="AE177" s="33">
        <f t="shared" si="90"/>
        <v>0</v>
      </c>
      <c r="AF177" s="33">
        <f t="shared" si="91"/>
        <v>0.56000000000000005</v>
      </c>
      <c r="AG177" s="34">
        <f t="shared" si="92"/>
        <v>3390.7015999999962</v>
      </c>
      <c r="AH177" s="40">
        <f t="shared" si="93"/>
        <v>345.00000000000017</v>
      </c>
      <c r="AI177" s="40">
        <f t="shared" si="94"/>
        <v>10</v>
      </c>
      <c r="AJ177" s="40">
        <f t="shared" si="95"/>
        <v>8</v>
      </c>
      <c r="AK177" s="40">
        <f t="shared" si="96"/>
        <v>6</v>
      </c>
      <c r="AL177" s="40">
        <f t="shared" si="97"/>
        <v>9</v>
      </c>
    </row>
    <row r="178" spans="1:38" x14ac:dyDescent="0.25">
      <c r="A178" s="29">
        <v>113</v>
      </c>
      <c r="B178" s="5" t="s">
        <v>170</v>
      </c>
      <c r="C178" s="5" t="s">
        <v>606</v>
      </c>
      <c r="D178" s="5" t="s">
        <v>17</v>
      </c>
      <c r="E178" s="6">
        <v>2.2000000000000002</v>
      </c>
      <c r="F178" s="5" t="s">
        <v>26</v>
      </c>
      <c r="G178" s="5">
        <f>VLOOKUP(F178,Lookup!$A$8:$B$12,2,0)</f>
        <v>1</v>
      </c>
      <c r="H178" s="5" t="s">
        <v>367</v>
      </c>
      <c r="I178" s="5">
        <v>3</v>
      </c>
      <c r="J178" s="5">
        <f>VLOOKUP(I178,Lookup!$A$15:$B$18,2,0)</f>
        <v>5</v>
      </c>
      <c r="K178" s="5" t="s">
        <v>35</v>
      </c>
      <c r="L178" s="5">
        <f>VLOOKUP(K178,Lookup!$D$21:$E$24,2,0)</f>
        <v>5</v>
      </c>
      <c r="M178" s="6">
        <f t="shared" si="84"/>
        <v>11</v>
      </c>
      <c r="N178" s="5">
        <f>VLOOKUP(K178,Lookup!$A$21:$B$24,2,0)</f>
        <v>3</v>
      </c>
      <c r="O178" s="5" t="s">
        <v>607</v>
      </c>
      <c r="P178" s="5" t="s">
        <v>44</v>
      </c>
      <c r="Q178" s="5">
        <f>VLOOKUP(P178,Lookup!$A$27:$B$31,2,0)</f>
        <v>2</v>
      </c>
      <c r="R178" s="6">
        <f t="shared" si="85"/>
        <v>11</v>
      </c>
      <c r="S178" s="6">
        <f>80*0.2</f>
        <v>16</v>
      </c>
      <c r="T178" s="6">
        <v>833</v>
      </c>
      <c r="U178" s="6">
        <f t="shared" si="83"/>
        <v>849</v>
      </c>
      <c r="V178" s="6">
        <f t="shared" si="86"/>
        <v>169.8</v>
      </c>
      <c r="W178" s="6">
        <v>200</v>
      </c>
      <c r="X178" s="18" t="s">
        <v>605</v>
      </c>
      <c r="Z178" s="33">
        <f t="shared" si="82"/>
        <v>11</v>
      </c>
      <c r="AA178" s="33">
        <v>0</v>
      </c>
      <c r="AB178" s="33">
        <f t="shared" si="87"/>
        <v>3.3</v>
      </c>
      <c r="AC178" s="33">
        <f t="shared" si="88"/>
        <v>0</v>
      </c>
      <c r="AD178" s="33">
        <f t="shared" si="89"/>
        <v>3.3</v>
      </c>
      <c r="AE178" s="33">
        <f t="shared" si="90"/>
        <v>0</v>
      </c>
      <c r="AF178" s="33">
        <f t="shared" si="91"/>
        <v>1.2320000000000002</v>
      </c>
      <c r="AG178" s="34">
        <f t="shared" si="92"/>
        <v>3409.5335999999961</v>
      </c>
      <c r="AH178" s="40">
        <f t="shared" si="93"/>
        <v>347.20000000000016</v>
      </c>
      <c r="AI178" s="40">
        <f t="shared" si="94"/>
        <v>10</v>
      </c>
      <c r="AJ178" s="40">
        <f t="shared" si="95"/>
        <v>6</v>
      </c>
      <c r="AK178" s="40">
        <f t="shared" si="96"/>
        <v>8</v>
      </c>
      <c r="AL178" s="40">
        <f t="shared" si="97"/>
        <v>9</v>
      </c>
    </row>
    <row r="179" spans="1:38" x14ac:dyDescent="0.25">
      <c r="A179" s="5">
        <v>176</v>
      </c>
      <c r="B179" s="5" t="s">
        <v>608</v>
      </c>
      <c r="C179" s="5" t="s">
        <v>609</v>
      </c>
      <c r="D179" s="5" t="s">
        <v>17</v>
      </c>
      <c r="E179" s="6">
        <v>3.1</v>
      </c>
      <c r="F179" s="5" t="s">
        <v>20</v>
      </c>
      <c r="G179" s="5">
        <f>VLOOKUP(F179,Lookup!$A$8:$B$12,2,0)</f>
        <v>5</v>
      </c>
      <c r="H179" s="5" t="s">
        <v>610</v>
      </c>
      <c r="I179" s="5">
        <v>2</v>
      </c>
      <c r="J179" s="5">
        <f>VLOOKUP(I179,Lookup!$A$15:$B$18,2,0)</f>
        <v>3</v>
      </c>
      <c r="K179" s="5" t="s">
        <v>33</v>
      </c>
      <c r="L179" s="5">
        <f>VLOOKUP(K179,Lookup!$D$21:$E$24,2,0)</f>
        <v>10</v>
      </c>
      <c r="M179" s="6">
        <f t="shared" si="84"/>
        <v>31</v>
      </c>
      <c r="N179" s="5">
        <f>VLOOKUP(K179,Lookup!$A$21:$B$24,2,0)</f>
        <v>2</v>
      </c>
      <c r="O179" s="5" t="s">
        <v>611</v>
      </c>
      <c r="P179" s="5" t="s">
        <v>42</v>
      </c>
      <c r="Q179" s="5">
        <f>VLOOKUP(P179,Lookup!$A$27:$B$31,2,0)</f>
        <v>4</v>
      </c>
      <c r="R179" s="6">
        <f t="shared" si="85"/>
        <v>14</v>
      </c>
      <c r="S179" s="64"/>
      <c r="T179" s="64"/>
      <c r="U179" s="64"/>
      <c r="V179" s="64"/>
      <c r="W179" s="6">
        <v>200</v>
      </c>
      <c r="X179" s="5" t="s">
        <v>612</v>
      </c>
      <c r="Z179" s="33">
        <f t="shared" si="82"/>
        <v>31</v>
      </c>
      <c r="AA179" s="33">
        <v>0</v>
      </c>
      <c r="AB179" s="33">
        <f t="shared" si="87"/>
        <v>9.2999999999999989</v>
      </c>
      <c r="AC179" s="33">
        <f t="shared" si="88"/>
        <v>0</v>
      </c>
      <c r="AD179" s="33">
        <f t="shared" si="89"/>
        <v>9.2999999999999989</v>
      </c>
      <c r="AE179" s="33">
        <f t="shared" si="90"/>
        <v>0</v>
      </c>
      <c r="AF179" s="33">
        <f t="shared" si="91"/>
        <v>3.472</v>
      </c>
      <c r="AG179" s="34">
        <f t="shared" si="92"/>
        <v>3462.6055999999962</v>
      </c>
      <c r="AH179" s="40">
        <f t="shared" si="93"/>
        <v>350.30000000000018</v>
      </c>
    </row>
  </sheetData>
  <autoFilter ref="A1:AH179" xr:uid="{EE501E30-6BD3-4B02-B374-999CB4E8980A}">
    <sortState xmlns:xlrd2="http://schemas.microsoft.com/office/spreadsheetml/2017/richdata2" ref="A3:AH179">
      <sortCondition ref="W1:W178"/>
    </sortState>
  </autoFilter>
  <phoneticPr fontId="9" type="noConversion"/>
  <conditionalFormatting sqref="X15">
    <cfRule type="colorScale" priority="223">
      <colorScale>
        <cfvo type="min"/>
        <cfvo type="percentile" val="50"/>
        <cfvo type="max"/>
        <color rgb="FFF8696B"/>
        <color rgb="FFFFEB84"/>
        <color rgb="FF63BE7B"/>
      </colorScale>
    </cfRule>
  </conditionalFormatting>
  <conditionalFormatting sqref="X17">
    <cfRule type="colorScale" priority="221">
      <colorScale>
        <cfvo type="min"/>
        <cfvo type="percentile" val="50"/>
        <cfvo type="max"/>
        <color rgb="FFF8696B"/>
        <color rgb="FFFFEB84"/>
        <color rgb="FF63BE7B"/>
      </colorScale>
    </cfRule>
  </conditionalFormatting>
  <conditionalFormatting sqref="X18">
    <cfRule type="colorScale" priority="220">
      <colorScale>
        <cfvo type="min"/>
        <cfvo type="percentile" val="50"/>
        <cfvo type="max"/>
        <color rgb="FFF8696B"/>
        <color rgb="FFFFEB84"/>
        <color rgb="FF63BE7B"/>
      </colorScale>
    </cfRule>
  </conditionalFormatting>
  <conditionalFormatting sqref="X7">
    <cfRule type="colorScale" priority="218">
      <colorScale>
        <cfvo type="min"/>
        <cfvo type="percentile" val="50"/>
        <cfvo type="max"/>
        <color rgb="FFF8696B"/>
        <color rgb="FFFFEB84"/>
        <color rgb="FF63BE7B"/>
      </colorScale>
    </cfRule>
  </conditionalFormatting>
  <conditionalFormatting sqref="X8">
    <cfRule type="colorScale" priority="217">
      <colorScale>
        <cfvo type="min"/>
        <cfvo type="percentile" val="50"/>
        <cfvo type="max"/>
        <color rgb="FFF8696B"/>
        <color rgb="FFFFEB84"/>
        <color rgb="FF63BE7B"/>
      </colorScale>
    </cfRule>
  </conditionalFormatting>
  <conditionalFormatting sqref="X9">
    <cfRule type="colorScale" priority="216">
      <colorScale>
        <cfvo type="min"/>
        <cfvo type="percentile" val="50"/>
        <cfvo type="max"/>
        <color rgb="FFF8696B"/>
        <color rgb="FFFFEB84"/>
        <color rgb="FF63BE7B"/>
      </colorScale>
    </cfRule>
  </conditionalFormatting>
  <conditionalFormatting sqref="X13">
    <cfRule type="colorScale" priority="214">
      <colorScale>
        <cfvo type="min"/>
        <cfvo type="percentile" val="50"/>
        <cfvo type="max"/>
        <color rgb="FFF8696B"/>
        <color rgb="FFFFEB84"/>
        <color rgb="FF63BE7B"/>
      </colorScale>
    </cfRule>
  </conditionalFormatting>
  <conditionalFormatting sqref="X14">
    <cfRule type="colorScale" priority="213">
      <colorScale>
        <cfvo type="min"/>
        <cfvo type="percentile" val="50"/>
        <cfvo type="max"/>
        <color rgb="FFF8696B"/>
        <color rgb="FFFFEB84"/>
        <color rgb="FF63BE7B"/>
      </colorScale>
    </cfRule>
  </conditionalFormatting>
  <conditionalFormatting sqref="X16">
    <cfRule type="colorScale" priority="212">
      <colorScale>
        <cfvo type="min"/>
        <cfvo type="percentile" val="50"/>
        <cfvo type="max"/>
        <color rgb="FFF8696B"/>
        <color rgb="FFFFEB84"/>
        <color rgb="FF63BE7B"/>
      </colorScale>
    </cfRule>
  </conditionalFormatting>
  <conditionalFormatting sqref="X25">
    <cfRule type="colorScale" priority="211">
      <colorScale>
        <cfvo type="min"/>
        <cfvo type="percentile" val="50"/>
        <cfvo type="max"/>
        <color rgb="FFF8696B"/>
        <color rgb="FFFFEB84"/>
        <color rgb="FF63BE7B"/>
      </colorScale>
    </cfRule>
  </conditionalFormatting>
  <conditionalFormatting sqref="X27">
    <cfRule type="colorScale" priority="208">
      <colorScale>
        <cfvo type="min"/>
        <cfvo type="percentile" val="50"/>
        <cfvo type="max"/>
        <color rgb="FFF8696B"/>
        <color rgb="FFFFEB84"/>
        <color rgb="FF63BE7B"/>
      </colorScale>
    </cfRule>
  </conditionalFormatting>
  <conditionalFormatting sqref="X31">
    <cfRule type="colorScale" priority="205">
      <colorScale>
        <cfvo type="min"/>
        <cfvo type="percentile" val="50"/>
        <cfvo type="max"/>
        <color rgb="FFF8696B"/>
        <color rgb="FFFFEB84"/>
        <color rgb="FF63BE7B"/>
      </colorScale>
    </cfRule>
  </conditionalFormatting>
  <conditionalFormatting sqref="X51">
    <cfRule type="colorScale" priority="194">
      <colorScale>
        <cfvo type="min"/>
        <cfvo type="percentile" val="50"/>
        <cfvo type="max"/>
        <color rgb="FFF8696B"/>
        <color rgb="FFFFEB84"/>
        <color rgb="FF63BE7B"/>
      </colorScale>
    </cfRule>
  </conditionalFormatting>
  <conditionalFormatting sqref="X53">
    <cfRule type="colorScale" priority="193">
      <colorScale>
        <cfvo type="min"/>
        <cfvo type="percentile" val="50"/>
        <cfvo type="max"/>
        <color rgb="FFF8696B"/>
        <color rgb="FFFFEB84"/>
        <color rgb="FF63BE7B"/>
      </colorScale>
    </cfRule>
  </conditionalFormatting>
  <conditionalFormatting sqref="X57">
    <cfRule type="colorScale" priority="189">
      <colorScale>
        <cfvo type="min"/>
        <cfvo type="percentile" val="50"/>
        <cfvo type="max"/>
        <color rgb="FFF8696B"/>
        <color rgb="FFFFEB84"/>
        <color rgb="FF63BE7B"/>
      </colorScale>
    </cfRule>
  </conditionalFormatting>
  <conditionalFormatting sqref="X60">
    <cfRule type="colorScale" priority="187">
      <colorScale>
        <cfvo type="min"/>
        <cfvo type="percentile" val="50"/>
        <cfvo type="max"/>
        <color rgb="FFF8696B"/>
        <color rgb="FFFFEB84"/>
        <color rgb="FF63BE7B"/>
      </colorScale>
    </cfRule>
  </conditionalFormatting>
  <conditionalFormatting sqref="X65">
    <cfRule type="colorScale" priority="186">
      <colorScale>
        <cfvo type="min"/>
        <cfvo type="percentile" val="50"/>
        <cfvo type="max"/>
        <color rgb="FFF8696B"/>
        <color rgb="FFFFEB84"/>
        <color rgb="FF63BE7B"/>
      </colorScale>
    </cfRule>
  </conditionalFormatting>
  <conditionalFormatting sqref="X66">
    <cfRule type="colorScale" priority="185">
      <colorScale>
        <cfvo type="min"/>
        <cfvo type="percentile" val="50"/>
        <cfvo type="max"/>
        <color rgb="FFF8696B"/>
        <color rgb="FFFFEB84"/>
        <color rgb="FF63BE7B"/>
      </colorScale>
    </cfRule>
  </conditionalFormatting>
  <conditionalFormatting sqref="X67">
    <cfRule type="colorScale" priority="184">
      <colorScale>
        <cfvo type="min"/>
        <cfvo type="percentile" val="50"/>
        <cfvo type="max"/>
        <color rgb="FFF8696B"/>
        <color rgb="FFFFEB84"/>
        <color rgb="FF63BE7B"/>
      </colorScale>
    </cfRule>
  </conditionalFormatting>
  <conditionalFormatting sqref="X70">
    <cfRule type="colorScale" priority="183">
      <colorScale>
        <cfvo type="min"/>
        <cfvo type="percentile" val="50"/>
        <cfvo type="max"/>
        <color rgb="FFF8696B"/>
        <color rgb="FFFFEB84"/>
        <color rgb="FF63BE7B"/>
      </colorScale>
    </cfRule>
  </conditionalFormatting>
  <conditionalFormatting sqref="X39">
    <cfRule type="colorScale" priority="182">
      <colorScale>
        <cfvo type="min"/>
        <cfvo type="percentile" val="50"/>
        <cfvo type="max"/>
        <color rgb="FFF8696B"/>
        <color rgb="FFFFEB84"/>
        <color rgb="FF63BE7B"/>
      </colorScale>
    </cfRule>
  </conditionalFormatting>
  <conditionalFormatting sqref="X40">
    <cfRule type="colorScale" priority="181">
      <colorScale>
        <cfvo type="min"/>
        <cfvo type="percentile" val="50"/>
        <cfvo type="max"/>
        <color rgb="FFF8696B"/>
        <color rgb="FFFFEB84"/>
        <color rgb="FF63BE7B"/>
      </colorScale>
    </cfRule>
  </conditionalFormatting>
  <conditionalFormatting sqref="X49">
    <cfRule type="colorScale" priority="180">
      <colorScale>
        <cfvo type="min"/>
        <cfvo type="percentile" val="50"/>
        <cfvo type="max"/>
        <color rgb="FFF8696B"/>
        <color rgb="FFFFEB84"/>
        <color rgb="FF63BE7B"/>
      </colorScale>
    </cfRule>
  </conditionalFormatting>
  <conditionalFormatting sqref="X71">
    <cfRule type="colorScale" priority="176">
      <colorScale>
        <cfvo type="min"/>
        <cfvo type="percentile" val="50"/>
        <cfvo type="max"/>
        <color rgb="FFF8696B"/>
        <color rgb="FFFFEB84"/>
        <color rgb="FF63BE7B"/>
      </colorScale>
    </cfRule>
  </conditionalFormatting>
  <conditionalFormatting sqref="X76">
    <cfRule type="colorScale" priority="175">
      <colorScale>
        <cfvo type="min"/>
        <cfvo type="percentile" val="50"/>
        <cfvo type="max"/>
        <color rgb="FFF8696B"/>
        <color rgb="FFFFEB84"/>
        <color rgb="FF63BE7B"/>
      </colorScale>
    </cfRule>
  </conditionalFormatting>
  <conditionalFormatting sqref="X79">
    <cfRule type="colorScale" priority="174">
      <colorScale>
        <cfvo type="min"/>
        <cfvo type="percentile" val="50"/>
        <cfvo type="max"/>
        <color rgb="FFF8696B"/>
        <color rgb="FFFFEB84"/>
        <color rgb="FF63BE7B"/>
      </colorScale>
    </cfRule>
  </conditionalFormatting>
  <conditionalFormatting sqref="X122">
    <cfRule type="colorScale" priority="172">
      <colorScale>
        <cfvo type="min"/>
        <cfvo type="percentile" val="50"/>
        <cfvo type="max"/>
        <color rgb="FFF8696B"/>
        <color rgb="FFFFEB84"/>
        <color rgb="FF63BE7B"/>
      </colorScale>
    </cfRule>
  </conditionalFormatting>
  <conditionalFormatting sqref="X123">
    <cfRule type="colorScale" priority="171">
      <colorScale>
        <cfvo type="min"/>
        <cfvo type="percentile" val="50"/>
        <cfvo type="max"/>
        <color rgb="FFF8696B"/>
        <color rgb="FFFFEB84"/>
        <color rgb="FF63BE7B"/>
      </colorScale>
    </cfRule>
  </conditionalFormatting>
  <conditionalFormatting sqref="X126">
    <cfRule type="colorScale" priority="170">
      <colorScale>
        <cfvo type="min"/>
        <cfvo type="percentile" val="50"/>
        <cfvo type="max"/>
        <color rgb="FFF8696B"/>
        <color rgb="FFFFEB84"/>
        <color rgb="FF63BE7B"/>
      </colorScale>
    </cfRule>
  </conditionalFormatting>
  <conditionalFormatting sqref="X136">
    <cfRule type="colorScale" priority="169">
      <colorScale>
        <cfvo type="min"/>
        <cfvo type="percentile" val="50"/>
        <cfvo type="max"/>
        <color rgb="FFF8696B"/>
        <color rgb="FFFFEB84"/>
        <color rgb="FF63BE7B"/>
      </colorScale>
    </cfRule>
  </conditionalFormatting>
  <conditionalFormatting sqref="X137">
    <cfRule type="colorScale" priority="168">
      <colorScale>
        <cfvo type="min"/>
        <cfvo type="percentile" val="50"/>
        <cfvo type="max"/>
        <color rgb="FFF8696B"/>
        <color rgb="FFFFEB84"/>
        <color rgb="FF63BE7B"/>
      </colorScale>
    </cfRule>
  </conditionalFormatting>
  <conditionalFormatting sqref="X167">
    <cfRule type="colorScale" priority="167">
      <colorScale>
        <cfvo type="min"/>
        <cfvo type="percentile" val="50"/>
        <cfvo type="max"/>
        <color rgb="FFF8696B"/>
        <color rgb="FFFFEB84"/>
        <color rgb="FF63BE7B"/>
      </colorScale>
    </cfRule>
  </conditionalFormatting>
  <conditionalFormatting sqref="X170">
    <cfRule type="colorScale" priority="166">
      <colorScale>
        <cfvo type="min"/>
        <cfvo type="percentile" val="50"/>
        <cfvo type="max"/>
        <color rgb="FFF8696B"/>
        <color rgb="FFFFEB84"/>
        <color rgb="FF63BE7B"/>
      </colorScale>
    </cfRule>
  </conditionalFormatting>
  <conditionalFormatting sqref="X172">
    <cfRule type="colorScale" priority="165">
      <colorScale>
        <cfvo type="min"/>
        <cfvo type="percentile" val="50"/>
        <cfvo type="max"/>
        <color rgb="FFF8696B"/>
        <color rgb="FFFFEB84"/>
        <color rgb="FF63BE7B"/>
      </colorScale>
    </cfRule>
  </conditionalFormatting>
  <conditionalFormatting sqref="X177">
    <cfRule type="colorScale" priority="163">
      <colorScale>
        <cfvo type="min"/>
        <cfvo type="percentile" val="50"/>
        <cfvo type="max"/>
        <color rgb="FFF8696B"/>
        <color rgb="FFFFEB84"/>
        <color rgb="FF63BE7B"/>
      </colorScale>
    </cfRule>
  </conditionalFormatting>
  <conditionalFormatting sqref="X178">
    <cfRule type="colorScale" priority="162">
      <colorScale>
        <cfvo type="min"/>
        <cfvo type="percentile" val="50"/>
        <cfvo type="max"/>
        <color rgb="FFF8696B"/>
        <color rgb="FFFFEB84"/>
        <color rgb="FF63BE7B"/>
      </colorScale>
    </cfRule>
  </conditionalFormatting>
  <conditionalFormatting sqref="X163">
    <cfRule type="colorScale" priority="159">
      <colorScale>
        <cfvo type="min"/>
        <cfvo type="percentile" val="50"/>
        <cfvo type="max"/>
        <color rgb="FFF8696B"/>
        <color rgb="FFFFEB84"/>
        <color rgb="FF63BE7B"/>
      </colorScale>
    </cfRule>
  </conditionalFormatting>
  <conditionalFormatting sqref="X155">
    <cfRule type="colorScale" priority="158">
      <colorScale>
        <cfvo type="min"/>
        <cfvo type="percentile" val="50"/>
        <cfvo type="max"/>
        <color rgb="FFF8696B"/>
        <color rgb="FFFFEB84"/>
        <color rgb="FF63BE7B"/>
      </colorScale>
    </cfRule>
  </conditionalFormatting>
  <conditionalFormatting sqref="X173">
    <cfRule type="colorScale" priority="157">
      <colorScale>
        <cfvo type="min"/>
        <cfvo type="percentile" val="50"/>
        <cfvo type="max"/>
        <color rgb="FFF8696B"/>
        <color rgb="FFFFEB84"/>
        <color rgb="FF63BE7B"/>
      </colorScale>
    </cfRule>
  </conditionalFormatting>
  <conditionalFormatting sqref="X63">
    <cfRule type="colorScale" priority="156">
      <colorScale>
        <cfvo type="min"/>
        <cfvo type="percentile" val="50"/>
        <cfvo type="max"/>
        <color rgb="FFF8696B"/>
        <color rgb="FFFFEB84"/>
        <color rgb="FF63BE7B"/>
      </colorScale>
    </cfRule>
  </conditionalFormatting>
  <conditionalFormatting sqref="X73">
    <cfRule type="colorScale" priority="155">
      <colorScale>
        <cfvo type="min"/>
        <cfvo type="percentile" val="50"/>
        <cfvo type="max"/>
        <color rgb="FFF8696B"/>
        <color rgb="FFFFEB84"/>
        <color rgb="FF63BE7B"/>
      </colorScale>
    </cfRule>
  </conditionalFormatting>
  <conditionalFormatting sqref="X74">
    <cfRule type="colorScale" priority="154">
      <colorScale>
        <cfvo type="min"/>
        <cfvo type="percentile" val="50"/>
        <cfvo type="max"/>
        <color rgb="FFF8696B"/>
        <color rgb="FFFFEB84"/>
        <color rgb="FF63BE7B"/>
      </colorScale>
    </cfRule>
  </conditionalFormatting>
  <conditionalFormatting sqref="X75">
    <cfRule type="colorScale" priority="153">
      <colorScale>
        <cfvo type="min"/>
        <cfvo type="percentile" val="50"/>
        <cfvo type="max"/>
        <color rgb="FFF8696B"/>
        <color rgb="FFFFEB84"/>
        <color rgb="FF63BE7B"/>
      </colorScale>
    </cfRule>
  </conditionalFormatting>
  <conditionalFormatting sqref="X83">
    <cfRule type="colorScale" priority="152">
      <colorScale>
        <cfvo type="min"/>
        <cfvo type="percentile" val="50"/>
        <cfvo type="max"/>
        <color rgb="FFF8696B"/>
        <color rgb="FFFFEB84"/>
        <color rgb="FF63BE7B"/>
      </colorScale>
    </cfRule>
  </conditionalFormatting>
  <conditionalFormatting sqref="X84">
    <cfRule type="colorScale" priority="151">
      <colorScale>
        <cfvo type="min"/>
        <cfvo type="percentile" val="50"/>
        <cfvo type="max"/>
        <color rgb="FFF8696B"/>
        <color rgb="FFFFEB84"/>
        <color rgb="FF63BE7B"/>
      </colorScale>
    </cfRule>
  </conditionalFormatting>
  <conditionalFormatting sqref="X85">
    <cfRule type="colorScale" priority="150">
      <colorScale>
        <cfvo type="min"/>
        <cfvo type="percentile" val="50"/>
        <cfvo type="max"/>
        <color rgb="FFF8696B"/>
        <color rgb="FFFFEB84"/>
        <color rgb="FF63BE7B"/>
      </colorScale>
    </cfRule>
  </conditionalFormatting>
  <conditionalFormatting sqref="X86">
    <cfRule type="colorScale" priority="147">
      <colorScale>
        <cfvo type="min"/>
        <cfvo type="percentile" val="50"/>
        <cfvo type="max"/>
        <color rgb="FFF8696B"/>
        <color rgb="FFFFEB84"/>
        <color rgb="FF63BE7B"/>
      </colorScale>
    </cfRule>
  </conditionalFormatting>
  <conditionalFormatting sqref="X92">
    <cfRule type="colorScale" priority="145">
      <colorScale>
        <cfvo type="min"/>
        <cfvo type="percentile" val="50"/>
        <cfvo type="max"/>
        <color rgb="FFF8696B"/>
        <color rgb="FFFFEB84"/>
        <color rgb="FF63BE7B"/>
      </colorScale>
    </cfRule>
  </conditionalFormatting>
  <conditionalFormatting sqref="X96">
    <cfRule type="colorScale" priority="144">
      <colorScale>
        <cfvo type="min"/>
        <cfvo type="percentile" val="50"/>
        <cfvo type="max"/>
        <color rgb="FFF8696B"/>
        <color rgb="FFFFEB84"/>
        <color rgb="FF63BE7B"/>
      </colorScale>
    </cfRule>
  </conditionalFormatting>
  <conditionalFormatting sqref="X102">
    <cfRule type="colorScale" priority="143">
      <colorScale>
        <cfvo type="min"/>
        <cfvo type="percentile" val="50"/>
        <cfvo type="max"/>
        <color rgb="FFF8696B"/>
        <color rgb="FFFFEB84"/>
        <color rgb="FF63BE7B"/>
      </colorScale>
    </cfRule>
  </conditionalFormatting>
  <conditionalFormatting sqref="X104">
    <cfRule type="colorScale" priority="142">
      <colorScale>
        <cfvo type="min"/>
        <cfvo type="percentile" val="50"/>
        <cfvo type="max"/>
        <color rgb="FFF8696B"/>
        <color rgb="FFFFEB84"/>
        <color rgb="FF63BE7B"/>
      </colorScale>
    </cfRule>
  </conditionalFormatting>
  <conditionalFormatting sqref="X114">
    <cfRule type="colorScale" priority="141">
      <colorScale>
        <cfvo type="min"/>
        <cfvo type="percentile" val="50"/>
        <cfvo type="max"/>
        <color rgb="FFF8696B"/>
        <color rgb="FFFFEB84"/>
        <color rgb="FF63BE7B"/>
      </colorScale>
    </cfRule>
  </conditionalFormatting>
  <conditionalFormatting sqref="X115">
    <cfRule type="colorScale" priority="140">
      <colorScale>
        <cfvo type="min"/>
        <cfvo type="percentile" val="50"/>
        <cfvo type="max"/>
        <color rgb="FFF8696B"/>
        <color rgb="FFFFEB84"/>
        <color rgb="FF63BE7B"/>
      </colorScale>
    </cfRule>
  </conditionalFormatting>
  <conditionalFormatting sqref="X118">
    <cfRule type="colorScale" priority="139">
      <colorScale>
        <cfvo type="min"/>
        <cfvo type="percentile" val="50"/>
        <cfvo type="max"/>
        <color rgb="FFF8696B"/>
        <color rgb="FFFFEB84"/>
        <color rgb="FF63BE7B"/>
      </colorScale>
    </cfRule>
  </conditionalFormatting>
  <conditionalFormatting sqref="X120">
    <cfRule type="colorScale" priority="138">
      <colorScale>
        <cfvo type="min"/>
        <cfvo type="percentile" val="50"/>
        <cfvo type="max"/>
        <color rgb="FFF8696B"/>
        <color rgb="FFFFEB84"/>
        <color rgb="FF63BE7B"/>
      </colorScale>
    </cfRule>
  </conditionalFormatting>
  <conditionalFormatting sqref="X121">
    <cfRule type="colorScale" priority="137">
      <colorScale>
        <cfvo type="min"/>
        <cfvo type="percentile" val="50"/>
        <cfvo type="max"/>
        <color rgb="FFF8696B"/>
        <color rgb="FFFFEB84"/>
        <color rgb="FF63BE7B"/>
      </colorScale>
    </cfRule>
  </conditionalFormatting>
  <conditionalFormatting sqref="X127">
    <cfRule type="colorScale" priority="136">
      <colorScale>
        <cfvo type="min"/>
        <cfvo type="percentile" val="50"/>
        <cfvo type="max"/>
        <color rgb="FFF8696B"/>
        <color rgb="FFFFEB84"/>
        <color rgb="FF63BE7B"/>
      </colorScale>
    </cfRule>
  </conditionalFormatting>
  <conditionalFormatting sqref="X128">
    <cfRule type="colorScale" priority="135">
      <colorScale>
        <cfvo type="min"/>
        <cfvo type="percentile" val="50"/>
        <cfvo type="max"/>
        <color rgb="FFF8696B"/>
        <color rgb="FFFFEB84"/>
        <color rgb="FF63BE7B"/>
      </colorScale>
    </cfRule>
  </conditionalFormatting>
  <conditionalFormatting sqref="X129">
    <cfRule type="colorScale" priority="134">
      <colorScale>
        <cfvo type="min"/>
        <cfvo type="percentile" val="50"/>
        <cfvo type="max"/>
        <color rgb="FFF8696B"/>
        <color rgb="FFFFEB84"/>
        <color rgb="FF63BE7B"/>
      </colorScale>
    </cfRule>
  </conditionalFormatting>
  <conditionalFormatting sqref="X130">
    <cfRule type="colorScale" priority="133">
      <colorScale>
        <cfvo type="min"/>
        <cfvo type="percentile" val="50"/>
        <cfvo type="max"/>
        <color rgb="FFF8696B"/>
        <color rgb="FFFFEB84"/>
        <color rgb="FF63BE7B"/>
      </colorScale>
    </cfRule>
  </conditionalFormatting>
  <conditionalFormatting sqref="X131">
    <cfRule type="colorScale" priority="132">
      <colorScale>
        <cfvo type="min"/>
        <cfvo type="percentile" val="50"/>
        <cfvo type="max"/>
        <color rgb="FFF8696B"/>
        <color rgb="FFFFEB84"/>
        <color rgb="FF63BE7B"/>
      </colorScale>
    </cfRule>
  </conditionalFormatting>
  <conditionalFormatting sqref="X133">
    <cfRule type="colorScale" priority="131">
      <colorScale>
        <cfvo type="min"/>
        <cfvo type="percentile" val="50"/>
        <cfvo type="max"/>
        <color rgb="FFF8696B"/>
        <color rgb="FFFFEB84"/>
        <color rgb="FF63BE7B"/>
      </colorScale>
    </cfRule>
  </conditionalFormatting>
  <conditionalFormatting sqref="X134">
    <cfRule type="colorScale" priority="130">
      <colorScale>
        <cfvo type="min"/>
        <cfvo type="percentile" val="50"/>
        <cfvo type="max"/>
        <color rgb="FFF8696B"/>
        <color rgb="FFFFEB84"/>
        <color rgb="FF63BE7B"/>
      </colorScale>
    </cfRule>
  </conditionalFormatting>
  <conditionalFormatting sqref="X139">
    <cfRule type="colorScale" priority="129">
      <colorScale>
        <cfvo type="min"/>
        <cfvo type="percentile" val="50"/>
        <cfvo type="max"/>
        <color rgb="FFF8696B"/>
        <color rgb="FFFFEB84"/>
        <color rgb="FF63BE7B"/>
      </colorScale>
    </cfRule>
  </conditionalFormatting>
  <conditionalFormatting sqref="X141">
    <cfRule type="colorScale" priority="128">
      <colorScale>
        <cfvo type="min"/>
        <cfvo type="percentile" val="50"/>
        <cfvo type="max"/>
        <color rgb="FFF8696B"/>
        <color rgb="FFFFEB84"/>
        <color rgb="FF63BE7B"/>
      </colorScale>
    </cfRule>
  </conditionalFormatting>
  <conditionalFormatting sqref="X148">
    <cfRule type="colorScale" priority="127">
      <colorScale>
        <cfvo type="min"/>
        <cfvo type="percentile" val="50"/>
        <cfvo type="max"/>
        <color rgb="FFF8696B"/>
        <color rgb="FFFFEB84"/>
        <color rgb="FF63BE7B"/>
      </colorScale>
    </cfRule>
  </conditionalFormatting>
  <conditionalFormatting sqref="X149">
    <cfRule type="colorScale" priority="126">
      <colorScale>
        <cfvo type="min"/>
        <cfvo type="percentile" val="50"/>
        <cfvo type="max"/>
        <color rgb="FFF8696B"/>
        <color rgb="FFFFEB84"/>
        <color rgb="FF63BE7B"/>
      </colorScale>
    </cfRule>
  </conditionalFormatting>
  <conditionalFormatting sqref="X156">
    <cfRule type="colorScale" priority="125">
      <colorScale>
        <cfvo type="min"/>
        <cfvo type="percentile" val="50"/>
        <cfvo type="max"/>
        <color rgb="FFF8696B"/>
        <color rgb="FFFFEB84"/>
        <color rgb="FF63BE7B"/>
      </colorScale>
    </cfRule>
  </conditionalFormatting>
  <conditionalFormatting sqref="X157">
    <cfRule type="colorScale" priority="124">
      <colorScale>
        <cfvo type="min"/>
        <cfvo type="percentile" val="50"/>
        <cfvo type="max"/>
        <color rgb="FFF8696B"/>
        <color rgb="FFFFEB84"/>
        <color rgb="FF63BE7B"/>
      </colorScale>
    </cfRule>
  </conditionalFormatting>
  <conditionalFormatting sqref="X158">
    <cfRule type="colorScale" priority="123">
      <colorScale>
        <cfvo type="min"/>
        <cfvo type="percentile" val="50"/>
        <cfvo type="max"/>
        <color rgb="FFF8696B"/>
        <color rgb="FFFFEB84"/>
        <color rgb="FF63BE7B"/>
      </colorScale>
    </cfRule>
  </conditionalFormatting>
  <conditionalFormatting sqref="X162">
    <cfRule type="colorScale" priority="122">
      <colorScale>
        <cfvo type="min"/>
        <cfvo type="percentile" val="50"/>
        <cfvo type="max"/>
        <color rgb="FFF8696B"/>
        <color rgb="FFFFEB84"/>
        <color rgb="FF63BE7B"/>
      </colorScale>
    </cfRule>
  </conditionalFormatting>
  <conditionalFormatting sqref="X159">
    <cfRule type="colorScale" priority="121">
      <colorScale>
        <cfvo type="min"/>
        <cfvo type="percentile" val="50"/>
        <cfvo type="max"/>
        <color rgb="FFF8696B"/>
        <color rgb="FFFFEB84"/>
        <color rgb="FF63BE7B"/>
      </colorScale>
    </cfRule>
  </conditionalFormatting>
  <conditionalFormatting sqref="X160">
    <cfRule type="colorScale" priority="120">
      <colorScale>
        <cfvo type="min"/>
        <cfvo type="percentile" val="50"/>
        <cfvo type="max"/>
        <color rgb="FFF8696B"/>
        <color rgb="FFFFEB84"/>
        <color rgb="FF63BE7B"/>
      </colorScale>
    </cfRule>
  </conditionalFormatting>
  <conditionalFormatting sqref="X68">
    <cfRule type="colorScale" priority="119">
      <colorScale>
        <cfvo type="min"/>
        <cfvo type="percentile" val="50"/>
        <cfvo type="max"/>
        <color rgb="FFF8696B"/>
        <color rgb="FFFFEB84"/>
        <color rgb="FF63BE7B"/>
      </colorScale>
    </cfRule>
  </conditionalFormatting>
  <conditionalFormatting sqref="X69">
    <cfRule type="colorScale" priority="118">
      <colorScale>
        <cfvo type="min"/>
        <cfvo type="percentile" val="50"/>
        <cfvo type="max"/>
        <color rgb="FFF8696B"/>
        <color rgb="FFFFEB84"/>
        <color rgb="FF63BE7B"/>
      </colorScale>
    </cfRule>
  </conditionalFormatting>
  <conditionalFormatting sqref="X28">
    <cfRule type="colorScale" priority="117">
      <colorScale>
        <cfvo type="min"/>
        <cfvo type="percentile" val="50"/>
        <cfvo type="max"/>
        <color rgb="FFF8696B"/>
        <color rgb="FFFFEB84"/>
        <color rgb="FF63BE7B"/>
      </colorScale>
    </cfRule>
  </conditionalFormatting>
  <conditionalFormatting sqref="X29">
    <cfRule type="colorScale" priority="116">
      <colorScale>
        <cfvo type="min"/>
        <cfvo type="percentile" val="50"/>
        <cfvo type="max"/>
        <color rgb="FFF8696B"/>
        <color rgb="FFFFEB84"/>
        <color rgb="FF63BE7B"/>
      </colorScale>
    </cfRule>
  </conditionalFormatting>
  <conditionalFormatting sqref="X32">
    <cfRule type="colorScale" priority="115">
      <colorScale>
        <cfvo type="min"/>
        <cfvo type="percentile" val="50"/>
        <cfvo type="max"/>
        <color rgb="FFF8696B"/>
        <color rgb="FFFFEB84"/>
        <color rgb="FF63BE7B"/>
      </colorScale>
    </cfRule>
  </conditionalFormatting>
  <conditionalFormatting sqref="X44">
    <cfRule type="colorScale" priority="114">
      <colorScale>
        <cfvo type="min"/>
        <cfvo type="percentile" val="50"/>
        <cfvo type="max"/>
        <color rgb="FFF8696B"/>
        <color rgb="FFFFEB84"/>
        <color rgb="FF63BE7B"/>
      </colorScale>
    </cfRule>
  </conditionalFormatting>
  <conditionalFormatting sqref="X45">
    <cfRule type="colorScale" priority="113">
      <colorScale>
        <cfvo type="min"/>
        <cfvo type="percentile" val="50"/>
        <cfvo type="max"/>
        <color rgb="FFF8696B"/>
        <color rgb="FFFFEB84"/>
        <color rgb="FF63BE7B"/>
      </colorScale>
    </cfRule>
  </conditionalFormatting>
  <conditionalFormatting sqref="X46">
    <cfRule type="colorScale" priority="112">
      <colorScale>
        <cfvo type="min"/>
        <cfvo type="percentile" val="50"/>
        <cfvo type="max"/>
        <color rgb="FFF8696B"/>
        <color rgb="FFFFEB84"/>
        <color rgb="FF63BE7B"/>
      </colorScale>
    </cfRule>
  </conditionalFormatting>
  <conditionalFormatting sqref="X48">
    <cfRule type="colorScale" priority="111">
      <colorScale>
        <cfvo type="min"/>
        <cfvo type="percentile" val="50"/>
        <cfvo type="max"/>
        <color rgb="FFF8696B"/>
        <color rgb="FFFFEB84"/>
        <color rgb="FF63BE7B"/>
      </colorScale>
    </cfRule>
  </conditionalFormatting>
  <conditionalFormatting sqref="X55">
    <cfRule type="colorScale" priority="110">
      <colorScale>
        <cfvo type="min"/>
        <cfvo type="percentile" val="50"/>
        <cfvo type="max"/>
        <color rgb="FFF8696B"/>
        <color rgb="FFFFEB84"/>
        <color rgb="FF63BE7B"/>
      </colorScale>
    </cfRule>
  </conditionalFormatting>
  <conditionalFormatting sqref="X87:X89">
    <cfRule type="colorScale" priority="108">
      <colorScale>
        <cfvo type="min"/>
        <cfvo type="percentile" val="50"/>
        <cfvo type="max"/>
        <color rgb="FFF8696B"/>
        <color rgb="FFFFEB84"/>
        <color rgb="FF63BE7B"/>
      </colorScale>
    </cfRule>
  </conditionalFormatting>
  <conditionalFormatting sqref="X91">
    <cfRule type="colorScale" priority="105">
      <colorScale>
        <cfvo type="min"/>
        <cfvo type="percentile" val="50"/>
        <cfvo type="max"/>
        <color rgb="FFF8696B"/>
        <color rgb="FFFFEB84"/>
        <color rgb="FF63BE7B"/>
      </colorScale>
    </cfRule>
  </conditionalFormatting>
  <conditionalFormatting sqref="X93">
    <cfRule type="colorScale" priority="104">
      <colorScale>
        <cfvo type="min"/>
        <cfvo type="percentile" val="50"/>
        <cfvo type="max"/>
        <color rgb="FFF8696B"/>
        <color rgb="FFFFEB84"/>
        <color rgb="FF63BE7B"/>
      </colorScale>
    </cfRule>
  </conditionalFormatting>
  <conditionalFormatting sqref="X94">
    <cfRule type="colorScale" priority="103">
      <colorScale>
        <cfvo type="min"/>
        <cfvo type="percentile" val="50"/>
        <cfvo type="max"/>
        <color rgb="FFF8696B"/>
        <color rgb="FFFFEB84"/>
        <color rgb="FF63BE7B"/>
      </colorScale>
    </cfRule>
  </conditionalFormatting>
  <conditionalFormatting sqref="X95">
    <cfRule type="colorScale" priority="102">
      <colorScale>
        <cfvo type="min"/>
        <cfvo type="percentile" val="50"/>
        <cfvo type="max"/>
        <color rgb="FFF8696B"/>
        <color rgb="FFFFEB84"/>
        <color rgb="FF63BE7B"/>
      </colorScale>
    </cfRule>
  </conditionalFormatting>
  <conditionalFormatting sqref="X97">
    <cfRule type="colorScale" priority="101">
      <colorScale>
        <cfvo type="min"/>
        <cfvo type="percentile" val="50"/>
        <cfvo type="max"/>
        <color rgb="FFF8696B"/>
        <color rgb="FFFFEB84"/>
        <color rgb="FF63BE7B"/>
      </colorScale>
    </cfRule>
  </conditionalFormatting>
  <conditionalFormatting sqref="X98">
    <cfRule type="colorScale" priority="100">
      <colorScale>
        <cfvo type="min"/>
        <cfvo type="percentile" val="50"/>
        <cfvo type="max"/>
        <color rgb="FFF8696B"/>
        <color rgb="FFFFEB84"/>
        <color rgb="FF63BE7B"/>
      </colorScale>
    </cfRule>
  </conditionalFormatting>
  <conditionalFormatting sqref="X105">
    <cfRule type="colorScale" priority="99">
      <colorScale>
        <cfvo type="min"/>
        <cfvo type="percentile" val="50"/>
        <cfvo type="max"/>
        <color rgb="FFF8696B"/>
        <color rgb="FFFFEB84"/>
        <color rgb="FF63BE7B"/>
      </colorScale>
    </cfRule>
  </conditionalFormatting>
  <conditionalFormatting sqref="X106">
    <cfRule type="colorScale" priority="96">
      <colorScale>
        <cfvo type="min"/>
        <cfvo type="percentile" val="50"/>
        <cfvo type="max"/>
        <color rgb="FFF8696B"/>
        <color rgb="FFFFEB84"/>
        <color rgb="FF63BE7B"/>
      </colorScale>
    </cfRule>
  </conditionalFormatting>
  <conditionalFormatting sqref="X100">
    <cfRule type="colorScale" priority="95">
      <colorScale>
        <cfvo type="min"/>
        <cfvo type="percentile" val="50"/>
        <cfvo type="max"/>
        <color rgb="FFF8696B"/>
        <color rgb="FFFFEB84"/>
        <color rgb="FF63BE7B"/>
      </colorScale>
    </cfRule>
  </conditionalFormatting>
  <conditionalFormatting sqref="X101">
    <cfRule type="colorScale" priority="94">
      <colorScale>
        <cfvo type="min"/>
        <cfvo type="percentile" val="50"/>
        <cfvo type="max"/>
        <color rgb="FFF8696B"/>
        <color rgb="FFFFEB84"/>
        <color rgb="FF63BE7B"/>
      </colorScale>
    </cfRule>
  </conditionalFormatting>
  <conditionalFormatting sqref="X103">
    <cfRule type="colorScale" priority="93">
      <colorScale>
        <cfvo type="min"/>
        <cfvo type="percentile" val="50"/>
        <cfvo type="max"/>
        <color rgb="FFF8696B"/>
        <color rgb="FFFFEB84"/>
        <color rgb="FF63BE7B"/>
      </colorScale>
    </cfRule>
  </conditionalFormatting>
  <conditionalFormatting sqref="X107:X110">
    <cfRule type="colorScale" priority="92">
      <colorScale>
        <cfvo type="min"/>
        <cfvo type="percentile" val="50"/>
        <cfvo type="max"/>
        <color rgb="FFF8696B"/>
        <color rgb="FFFFEB84"/>
        <color rgb="FF63BE7B"/>
      </colorScale>
    </cfRule>
  </conditionalFormatting>
  <conditionalFormatting sqref="X111">
    <cfRule type="colorScale" priority="91">
      <colorScale>
        <cfvo type="min"/>
        <cfvo type="percentile" val="50"/>
        <cfvo type="max"/>
        <color rgb="FFF8696B"/>
        <color rgb="FFFFEB84"/>
        <color rgb="FF63BE7B"/>
      </colorScale>
    </cfRule>
  </conditionalFormatting>
  <conditionalFormatting sqref="X112">
    <cfRule type="colorScale" priority="90">
      <colorScale>
        <cfvo type="min"/>
        <cfvo type="percentile" val="50"/>
        <cfvo type="max"/>
        <color rgb="FFF8696B"/>
        <color rgb="FFFFEB84"/>
        <color rgb="FF63BE7B"/>
      </colorScale>
    </cfRule>
  </conditionalFormatting>
  <conditionalFormatting sqref="X113">
    <cfRule type="colorScale" priority="89">
      <colorScale>
        <cfvo type="min"/>
        <cfvo type="percentile" val="50"/>
        <cfvo type="max"/>
        <color rgb="FFF8696B"/>
        <color rgb="FFFFEB84"/>
        <color rgb="FF63BE7B"/>
      </colorScale>
    </cfRule>
  </conditionalFormatting>
  <conditionalFormatting sqref="X116">
    <cfRule type="colorScale" priority="88">
      <colorScale>
        <cfvo type="min"/>
        <cfvo type="percentile" val="50"/>
        <cfvo type="max"/>
        <color rgb="FFF8696B"/>
        <color rgb="FFFFEB84"/>
        <color rgb="FF63BE7B"/>
      </colorScale>
    </cfRule>
  </conditionalFormatting>
  <conditionalFormatting sqref="X119">
    <cfRule type="colorScale" priority="87">
      <colorScale>
        <cfvo type="min"/>
        <cfvo type="percentile" val="50"/>
        <cfvo type="max"/>
        <color rgb="FFF8696B"/>
        <color rgb="FFFFEB84"/>
        <color rgb="FF63BE7B"/>
      </colorScale>
    </cfRule>
  </conditionalFormatting>
  <conditionalFormatting sqref="X117">
    <cfRule type="colorScale" priority="86">
      <colorScale>
        <cfvo type="min"/>
        <cfvo type="percentile" val="50"/>
        <cfvo type="max"/>
        <color rgb="FFF8696B"/>
        <color rgb="FFFFEB84"/>
        <color rgb="FF63BE7B"/>
      </colorScale>
    </cfRule>
  </conditionalFormatting>
  <conditionalFormatting sqref="X124">
    <cfRule type="colorScale" priority="85">
      <colorScale>
        <cfvo type="min"/>
        <cfvo type="percentile" val="50"/>
        <cfvo type="max"/>
        <color rgb="FFF8696B"/>
        <color rgb="FFFFEB84"/>
        <color rgb="FF63BE7B"/>
      </colorScale>
    </cfRule>
  </conditionalFormatting>
  <conditionalFormatting sqref="X125">
    <cfRule type="colorScale" priority="84">
      <colorScale>
        <cfvo type="min"/>
        <cfvo type="percentile" val="50"/>
        <cfvo type="max"/>
        <color rgb="FFF8696B"/>
        <color rgb="FFFFEB84"/>
        <color rgb="FF63BE7B"/>
      </colorScale>
    </cfRule>
  </conditionalFormatting>
  <conditionalFormatting sqref="X135">
    <cfRule type="colorScale" priority="83">
      <colorScale>
        <cfvo type="min"/>
        <cfvo type="percentile" val="50"/>
        <cfvo type="max"/>
        <color rgb="FFF8696B"/>
        <color rgb="FFFFEB84"/>
        <color rgb="FF63BE7B"/>
      </colorScale>
    </cfRule>
  </conditionalFormatting>
  <conditionalFormatting sqref="X138">
    <cfRule type="colorScale" priority="82">
      <colorScale>
        <cfvo type="min"/>
        <cfvo type="percentile" val="50"/>
        <cfvo type="max"/>
        <color rgb="FFF8696B"/>
        <color rgb="FFFFEB84"/>
        <color rgb="FF63BE7B"/>
      </colorScale>
    </cfRule>
  </conditionalFormatting>
  <conditionalFormatting sqref="X140">
    <cfRule type="colorScale" priority="81">
      <colorScale>
        <cfvo type="min"/>
        <cfvo type="percentile" val="50"/>
        <cfvo type="max"/>
        <color rgb="FFF8696B"/>
        <color rgb="FFFFEB84"/>
        <color rgb="FF63BE7B"/>
      </colorScale>
    </cfRule>
  </conditionalFormatting>
  <conditionalFormatting sqref="X142">
    <cfRule type="colorScale" priority="80">
      <colorScale>
        <cfvo type="min"/>
        <cfvo type="percentile" val="50"/>
        <cfvo type="max"/>
        <color rgb="FFF8696B"/>
        <color rgb="FFFFEB84"/>
        <color rgb="FF63BE7B"/>
      </colorScale>
    </cfRule>
  </conditionalFormatting>
  <conditionalFormatting sqref="X143">
    <cfRule type="colorScale" priority="79">
      <colorScale>
        <cfvo type="min"/>
        <cfvo type="percentile" val="50"/>
        <cfvo type="max"/>
        <color rgb="FFF8696B"/>
        <color rgb="FFFFEB84"/>
        <color rgb="FF63BE7B"/>
      </colorScale>
    </cfRule>
  </conditionalFormatting>
  <conditionalFormatting sqref="X145">
    <cfRule type="colorScale" priority="78">
      <colorScale>
        <cfvo type="min"/>
        <cfvo type="percentile" val="50"/>
        <cfvo type="max"/>
        <color rgb="FFF8696B"/>
        <color rgb="FFFFEB84"/>
        <color rgb="FF63BE7B"/>
      </colorScale>
    </cfRule>
  </conditionalFormatting>
  <conditionalFormatting sqref="X146">
    <cfRule type="colorScale" priority="77">
      <colorScale>
        <cfvo type="min"/>
        <cfvo type="percentile" val="50"/>
        <cfvo type="max"/>
        <color rgb="FFF8696B"/>
        <color rgb="FFFFEB84"/>
        <color rgb="FF63BE7B"/>
      </colorScale>
    </cfRule>
  </conditionalFormatting>
  <conditionalFormatting sqref="X147">
    <cfRule type="colorScale" priority="76">
      <colorScale>
        <cfvo type="min"/>
        <cfvo type="percentile" val="50"/>
        <cfvo type="max"/>
        <color rgb="FFF8696B"/>
        <color rgb="FFFFEB84"/>
        <color rgb="FF63BE7B"/>
      </colorScale>
    </cfRule>
  </conditionalFormatting>
  <conditionalFormatting sqref="X150">
    <cfRule type="colorScale" priority="75">
      <colorScale>
        <cfvo type="min"/>
        <cfvo type="percentile" val="50"/>
        <cfvo type="max"/>
        <color rgb="FFF8696B"/>
        <color rgb="FFFFEB84"/>
        <color rgb="FF63BE7B"/>
      </colorScale>
    </cfRule>
  </conditionalFormatting>
  <conditionalFormatting sqref="X151">
    <cfRule type="colorScale" priority="74">
      <colorScale>
        <cfvo type="min"/>
        <cfvo type="percentile" val="50"/>
        <cfvo type="max"/>
        <color rgb="FFF8696B"/>
        <color rgb="FFFFEB84"/>
        <color rgb="FF63BE7B"/>
      </colorScale>
    </cfRule>
  </conditionalFormatting>
  <conditionalFormatting sqref="X152">
    <cfRule type="colorScale" priority="73">
      <colorScale>
        <cfvo type="min"/>
        <cfvo type="percentile" val="50"/>
        <cfvo type="max"/>
        <color rgb="FFF8696B"/>
        <color rgb="FFFFEB84"/>
        <color rgb="FF63BE7B"/>
      </colorScale>
    </cfRule>
  </conditionalFormatting>
  <conditionalFormatting sqref="X153">
    <cfRule type="colorScale" priority="72">
      <colorScale>
        <cfvo type="min"/>
        <cfvo type="percentile" val="50"/>
        <cfvo type="max"/>
        <color rgb="FFF8696B"/>
        <color rgb="FFFFEB84"/>
        <color rgb="FF63BE7B"/>
      </colorScale>
    </cfRule>
  </conditionalFormatting>
  <conditionalFormatting sqref="X154">
    <cfRule type="colorScale" priority="71">
      <colorScale>
        <cfvo type="min"/>
        <cfvo type="percentile" val="50"/>
        <cfvo type="max"/>
        <color rgb="FFF8696B"/>
        <color rgb="FFFFEB84"/>
        <color rgb="FF63BE7B"/>
      </colorScale>
    </cfRule>
  </conditionalFormatting>
  <conditionalFormatting sqref="X161">
    <cfRule type="colorScale" priority="70">
      <colorScale>
        <cfvo type="min"/>
        <cfvo type="percentile" val="50"/>
        <cfvo type="max"/>
        <color rgb="FFF8696B"/>
        <color rgb="FFFFEB84"/>
        <color rgb="FF63BE7B"/>
      </colorScale>
    </cfRule>
  </conditionalFormatting>
  <conditionalFormatting sqref="X164">
    <cfRule type="colorScale" priority="69">
      <colorScale>
        <cfvo type="min"/>
        <cfvo type="percentile" val="50"/>
        <cfvo type="max"/>
        <color rgb="FFF8696B"/>
        <color rgb="FFFFEB84"/>
        <color rgb="FF63BE7B"/>
      </colorScale>
    </cfRule>
  </conditionalFormatting>
  <conditionalFormatting sqref="X174">
    <cfRule type="colorScale" priority="68">
      <colorScale>
        <cfvo type="min"/>
        <cfvo type="percentile" val="50"/>
        <cfvo type="max"/>
        <color rgb="FFF8696B"/>
        <color rgb="FFFFEB84"/>
        <color rgb="FF63BE7B"/>
      </colorScale>
    </cfRule>
  </conditionalFormatting>
  <conditionalFormatting sqref="X175">
    <cfRule type="colorScale" priority="67">
      <colorScale>
        <cfvo type="min"/>
        <cfvo type="percentile" val="50"/>
        <cfvo type="max"/>
        <color rgb="FFF8696B"/>
        <color rgb="FFFFEB84"/>
        <color rgb="FF63BE7B"/>
      </colorScale>
    </cfRule>
  </conditionalFormatting>
  <conditionalFormatting sqref="X176">
    <cfRule type="colorScale" priority="66">
      <colorScale>
        <cfvo type="min"/>
        <cfvo type="percentile" val="50"/>
        <cfvo type="max"/>
        <color rgb="FFF8696B"/>
        <color rgb="FFFFEB84"/>
        <color rgb="FF63BE7B"/>
      </colorScale>
    </cfRule>
  </conditionalFormatting>
  <conditionalFormatting sqref="X165">
    <cfRule type="colorScale" priority="65">
      <colorScale>
        <cfvo type="min"/>
        <cfvo type="percentile" val="50"/>
        <cfvo type="max"/>
        <color rgb="FFF8696B"/>
        <color rgb="FFFFEB84"/>
        <color rgb="FF63BE7B"/>
      </colorScale>
    </cfRule>
  </conditionalFormatting>
  <conditionalFormatting sqref="X166">
    <cfRule type="colorScale" priority="64">
      <colorScale>
        <cfvo type="min"/>
        <cfvo type="percentile" val="50"/>
        <cfvo type="max"/>
        <color rgb="FFF8696B"/>
        <color rgb="FFFFEB84"/>
        <color rgb="FF63BE7B"/>
      </colorScale>
    </cfRule>
  </conditionalFormatting>
  <conditionalFormatting sqref="X168">
    <cfRule type="colorScale" priority="63">
      <colorScale>
        <cfvo type="min"/>
        <cfvo type="percentile" val="50"/>
        <cfvo type="max"/>
        <color rgb="FFF8696B"/>
        <color rgb="FFFFEB84"/>
        <color rgb="FF63BE7B"/>
      </colorScale>
    </cfRule>
  </conditionalFormatting>
  <conditionalFormatting sqref="X169">
    <cfRule type="colorScale" priority="62">
      <colorScale>
        <cfvo type="min"/>
        <cfvo type="percentile" val="50"/>
        <cfvo type="max"/>
        <color rgb="FFF8696B"/>
        <color rgb="FFFFEB84"/>
        <color rgb="FF63BE7B"/>
      </colorScale>
    </cfRule>
  </conditionalFormatting>
  <conditionalFormatting sqref="X171">
    <cfRule type="colorScale" priority="61">
      <colorScale>
        <cfvo type="min"/>
        <cfvo type="percentile" val="50"/>
        <cfvo type="max"/>
        <color rgb="FFF8696B"/>
        <color rgb="FFFFEB84"/>
        <color rgb="FF63BE7B"/>
      </colorScale>
    </cfRule>
  </conditionalFormatting>
  <conditionalFormatting sqref="X6">
    <cfRule type="colorScale" priority="55">
      <colorScale>
        <cfvo type="min"/>
        <cfvo type="percentile" val="50"/>
        <cfvo type="max"/>
        <color rgb="FFF8696B"/>
        <color rgb="FFFFEB84"/>
        <color rgb="FF63BE7B"/>
      </colorScale>
    </cfRule>
  </conditionalFormatting>
  <conditionalFormatting sqref="X10">
    <cfRule type="colorScale" priority="54">
      <colorScale>
        <cfvo type="min"/>
        <cfvo type="percentile" val="50"/>
        <cfvo type="max"/>
        <color rgb="FFF8696B"/>
        <color rgb="FFFFEB84"/>
        <color rgb="FF63BE7B"/>
      </colorScale>
    </cfRule>
  </conditionalFormatting>
  <conditionalFormatting sqref="X11">
    <cfRule type="colorScale" priority="53">
      <colorScale>
        <cfvo type="min"/>
        <cfvo type="percentile" val="50"/>
        <cfvo type="max"/>
        <color rgb="FFF8696B"/>
        <color rgb="FFFFEB84"/>
        <color rgb="FF63BE7B"/>
      </colorScale>
    </cfRule>
  </conditionalFormatting>
  <conditionalFormatting sqref="X12">
    <cfRule type="colorScale" priority="52">
      <colorScale>
        <cfvo type="min"/>
        <cfvo type="percentile" val="50"/>
        <cfvo type="max"/>
        <color rgb="FFF8696B"/>
        <color rgb="FFFFEB84"/>
        <color rgb="FF63BE7B"/>
      </colorScale>
    </cfRule>
  </conditionalFormatting>
  <conditionalFormatting sqref="X30">
    <cfRule type="colorScale" priority="51">
      <colorScale>
        <cfvo type="min"/>
        <cfvo type="percentile" val="50"/>
        <cfvo type="max"/>
        <color rgb="FFF8696B"/>
        <color rgb="FFFFEB84"/>
        <color rgb="FF63BE7B"/>
      </colorScale>
    </cfRule>
  </conditionalFormatting>
  <conditionalFormatting sqref="X33">
    <cfRule type="colorScale" priority="50">
      <colorScale>
        <cfvo type="min"/>
        <cfvo type="percentile" val="50"/>
        <cfvo type="max"/>
        <color rgb="FFF8696B"/>
        <color rgb="FFFFEB84"/>
        <color rgb="FF63BE7B"/>
      </colorScale>
    </cfRule>
  </conditionalFormatting>
  <conditionalFormatting sqref="X34">
    <cfRule type="colorScale" priority="49">
      <colorScale>
        <cfvo type="min"/>
        <cfvo type="percentile" val="50"/>
        <cfvo type="max"/>
        <color rgb="FFF8696B"/>
        <color rgb="FFFFEB84"/>
        <color rgb="FF63BE7B"/>
      </colorScale>
    </cfRule>
  </conditionalFormatting>
  <conditionalFormatting sqref="V4">
    <cfRule type="colorScale" priority="48">
      <colorScale>
        <cfvo type="min"/>
        <cfvo type="percentile" val="50"/>
        <cfvo type="max"/>
        <color rgb="FFF8696B"/>
        <color rgb="FFFFEB84"/>
        <color rgb="FF63BE7B"/>
      </colorScale>
    </cfRule>
  </conditionalFormatting>
  <conditionalFormatting sqref="R4:S4">
    <cfRule type="colorScale" priority="47">
      <colorScale>
        <cfvo type="min"/>
        <cfvo type="percentile" val="50"/>
        <cfvo type="max"/>
        <color rgb="FFF8696B"/>
        <color rgb="FFFFEB84"/>
        <color rgb="FF63BE7B"/>
      </colorScale>
    </cfRule>
  </conditionalFormatting>
  <conditionalFormatting sqref="W4">
    <cfRule type="colorScale" priority="45">
      <colorScale>
        <cfvo type="min"/>
        <cfvo type="max"/>
        <color rgb="FF63BE7B"/>
        <color rgb="FFFCFCFF"/>
      </colorScale>
    </cfRule>
    <cfRule type="colorScale" priority="46">
      <colorScale>
        <cfvo type="min"/>
        <cfvo type="percentile" val="50"/>
        <cfvo type="max"/>
        <color rgb="FFF8696B"/>
        <color rgb="FFFFEB84"/>
        <color rgb="FF63BE7B"/>
      </colorScale>
    </cfRule>
  </conditionalFormatting>
  <conditionalFormatting sqref="X19">
    <cfRule type="colorScale" priority="42">
      <colorScale>
        <cfvo type="min"/>
        <cfvo type="percentile" val="50"/>
        <cfvo type="max"/>
        <color rgb="FFF8696B"/>
        <color rgb="FFFFEB84"/>
        <color rgb="FF63BE7B"/>
      </colorScale>
    </cfRule>
  </conditionalFormatting>
  <conditionalFormatting sqref="V5:V23 X5 X41:X43 X47 X52 X61:X62 X72 X64 X132 X144 X20:X23 X26 X77:X78 X80:X82 X90 X99 X35:X38 V25:V49 V51:V178">
    <cfRule type="colorScale" priority="257">
      <colorScale>
        <cfvo type="min"/>
        <cfvo type="percentile" val="50"/>
        <cfvo type="max"/>
        <color rgb="FFF8696B"/>
        <color rgb="FFFFEB84"/>
        <color rgb="FF63BE7B"/>
      </colorScale>
    </cfRule>
  </conditionalFormatting>
  <conditionalFormatting sqref="R5:S23 R25:S49 R51:S178 R179">
    <cfRule type="colorScale" priority="275">
      <colorScale>
        <cfvo type="min"/>
        <cfvo type="percentile" val="50"/>
        <cfvo type="max"/>
        <color rgb="FFF8696B"/>
        <color rgb="FFFFEB84"/>
        <color rgb="FF63BE7B"/>
      </colorScale>
    </cfRule>
  </conditionalFormatting>
  <conditionalFormatting sqref="W5:W23 W25:W49 W51:W178">
    <cfRule type="colorScale" priority="276">
      <colorScale>
        <cfvo type="min"/>
        <cfvo type="max"/>
        <color rgb="FF63BE7B"/>
        <color rgb="FFFCFCFF"/>
      </colorScale>
    </cfRule>
    <cfRule type="colorScale" priority="277">
      <colorScale>
        <cfvo type="min"/>
        <cfvo type="percentile" val="50"/>
        <cfvo type="max"/>
        <color rgb="FFF8696B"/>
        <color rgb="FFFFEB84"/>
        <color rgb="FF63BE7B"/>
      </colorScale>
    </cfRule>
  </conditionalFormatting>
  <conditionalFormatting sqref="V4:V23 V25:V49 V51:V178">
    <cfRule type="colorScale" priority="278">
      <colorScale>
        <cfvo type="min"/>
        <cfvo type="percentile" val="50"/>
        <cfvo type="max"/>
        <color rgb="FFF8696B"/>
        <color rgb="FFFFEB84"/>
        <color rgb="FF63BE7B"/>
      </colorScale>
    </cfRule>
  </conditionalFormatting>
  <conditionalFormatting sqref="W4:W23 W25:W49 W51:W178">
    <cfRule type="colorScale" priority="279">
      <colorScale>
        <cfvo type="min"/>
        <cfvo type="max"/>
        <color rgb="FF63BE7B"/>
        <color rgb="FFFCFCFF"/>
      </colorScale>
    </cfRule>
  </conditionalFormatting>
  <conditionalFormatting sqref="R2:T2 R1 R3:S23 R25:S49 R51:S178 R179:T1048576">
    <cfRule type="colorScale" priority="39">
      <colorScale>
        <cfvo type="min"/>
        <cfvo type="max"/>
        <color rgb="FFFCFCFF"/>
        <color rgb="FF63BE7B"/>
      </colorScale>
    </cfRule>
  </conditionalFormatting>
  <conditionalFormatting sqref="V1:V23 V25:V49 V51:V1048576">
    <cfRule type="colorScale" priority="38">
      <colorScale>
        <cfvo type="min"/>
        <cfvo type="percentile" val="50"/>
        <cfvo type="max"/>
        <color rgb="FFF8696B"/>
        <color rgb="FFFFEB84"/>
        <color rgb="FF63BE7B"/>
      </colorScale>
    </cfRule>
  </conditionalFormatting>
  <conditionalFormatting sqref="W1:W23 W25:W49 W51:W1048576">
    <cfRule type="colorScale" priority="37">
      <colorScale>
        <cfvo type="min"/>
        <cfvo type="max"/>
        <color rgb="FF63BE7B"/>
        <color rgb="FFFCFCFF"/>
      </colorScale>
    </cfRule>
  </conditionalFormatting>
  <conditionalFormatting sqref="X54">
    <cfRule type="colorScale" priority="36">
      <colorScale>
        <cfvo type="min"/>
        <cfvo type="percentile" val="50"/>
        <cfvo type="max"/>
        <color rgb="FFF8696B"/>
        <color rgb="FFFFEB84"/>
        <color rgb="FF63BE7B"/>
      </colorScale>
    </cfRule>
  </conditionalFormatting>
  <conditionalFormatting sqref="X56">
    <cfRule type="colorScale" priority="35">
      <colorScale>
        <cfvo type="min"/>
        <cfvo type="percentile" val="50"/>
        <cfvo type="max"/>
        <color rgb="FFF8696B"/>
        <color rgb="FFFFEB84"/>
        <color rgb="FF63BE7B"/>
      </colorScale>
    </cfRule>
  </conditionalFormatting>
  <conditionalFormatting sqref="X58">
    <cfRule type="colorScale" priority="34">
      <colorScale>
        <cfvo type="min"/>
        <cfvo type="percentile" val="50"/>
        <cfvo type="max"/>
        <color rgb="FFF8696B"/>
        <color rgb="FFFFEB84"/>
        <color rgb="FF63BE7B"/>
      </colorScale>
    </cfRule>
  </conditionalFormatting>
  <conditionalFormatting sqref="X59">
    <cfRule type="colorScale" priority="33">
      <colorScale>
        <cfvo type="min"/>
        <cfvo type="percentile" val="50"/>
        <cfvo type="max"/>
        <color rgb="FFF8696B"/>
        <color rgb="FFFFEB84"/>
        <color rgb="FF63BE7B"/>
      </colorScale>
    </cfRule>
  </conditionalFormatting>
  <conditionalFormatting sqref="R1:R23 R25:R49 R51:R1048576">
    <cfRule type="colorScale" priority="32">
      <colorScale>
        <cfvo type="min"/>
        <cfvo type="max"/>
        <color rgb="FFFCFCFF"/>
        <color rgb="FF63BE7B"/>
      </colorScale>
    </cfRule>
  </conditionalFormatting>
  <conditionalFormatting sqref="X24 V24">
    <cfRule type="colorScale" priority="26">
      <colorScale>
        <cfvo type="min"/>
        <cfvo type="percentile" val="50"/>
        <cfvo type="max"/>
        <color rgb="FFF8696B"/>
        <color rgb="FFFFEB84"/>
        <color rgb="FF63BE7B"/>
      </colorScale>
    </cfRule>
  </conditionalFormatting>
  <conditionalFormatting sqref="R24:S24">
    <cfRule type="colorScale" priority="27">
      <colorScale>
        <cfvo type="min"/>
        <cfvo type="percentile" val="50"/>
        <cfvo type="max"/>
        <color rgb="FFF8696B"/>
        <color rgb="FFFFEB84"/>
        <color rgb="FF63BE7B"/>
      </colorScale>
    </cfRule>
  </conditionalFormatting>
  <conditionalFormatting sqref="V24">
    <cfRule type="colorScale" priority="30">
      <colorScale>
        <cfvo type="min"/>
        <cfvo type="percentile" val="50"/>
        <cfvo type="max"/>
        <color rgb="FFF8696B"/>
        <color rgb="FFFFEB84"/>
        <color rgb="FF63BE7B"/>
      </colorScale>
    </cfRule>
  </conditionalFormatting>
  <conditionalFormatting sqref="R24:S24">
    <cfRule type="colorScale" priority="25">
      <colorScale>
        <cfvo type="min"/>
        <cfvo type="max"/>
        <color rgb="FFFCFCFF"/>
        <color rgb="FF63BE7B"/>
      </colorScale>
    </cfRule>
  </conditionalFormatting>
  <conditionalFormatting sqref="V24">
    <cfRule type="colorScale" priority="24">
      <colorScale>
        <cfvo type="min"/>
        <cfvo type="percentile" val="50"/>
        <cfvo type="max"/>
        <color rgb="FFF8696B"/>
        <color rgb="FFFFEB84"/>
        <color rgb="FF63BE7B"/>
      </colorScale>
    </cfRule>
  </conditionalFormatting>
  <conditionalFormatting sqref="R24">
    <cfRule type="colorScale" priority="22">
      <colorScale>
        <cfvo type="min"/>
        <cfvo type="max"/>
        <color rgb="FFFCFCFF"/>
        <color rgb="FF63BE7B"/>
      </colorScale>
    </cfRule>
  </conditionalFormatting>
  <conditionalFormatting sqref="W24">
    <cfRule type="colorScale" priority="19">
      <colorScale>
        <cfvo type="min"/>
        <cfvo type="max"/>
        <color rgb="FF63BE7B"/>
        <color rgb="FFFCFCFF"/>
      </colorScale>
    </cfRule>
    <cfRule type="colorScale" priority="20">
      <colorScale>
        <cfvo type="min"/>
        <cfvo type="percentile" val="50"/>
        <cfvo type="max"/>
        <color rgb="FFF8696B"/>
        <color rgb="FFFFEB84"/>
        <color rgb="FF63BE7B"/>
      </colorScale>
    </cfRule>
  </conditionalFormatting>
  <conditionalFormatting sqref="W24">
    <cfRule type="colorScale" priority="21">
      <colorScale>
        <cfvo type="min"/>
        <cfvo type="max"/>
        <color rgb="FF63BE7B"/>
        <color rgb="FFFCFCFF"/>
      </colorScale>
    </cfRule>
  </conditionalFormatting>
  <conditionalFormatting sqref="W3:W49 W51:W178">
    <cfRule type="colorScale" priority="17">
      <colorScale>
        <cfvo type="min"/>
        <cfvo type="max"/>
        <color rgb="FF63BE7B"/>
        <color rgb="FFFCFCFF"/>
      </colorScale>
    </cfRule>
  </conditionalFormatting>
  <conditionalFormatting sqref="X50">
    <cfRule type="colorScale" priority="10">
      <colorScale>
        <cfvo type="min"/>
        <cfvo type="percentile" val="50"/>
        <cfvo type="max"/>
        <color rgb="FFF8696B"/>
        <color rgb="FFFFEB84"/>
        <color rgb="FF63BE7B"/>
      </colorScale>
    </cfRule>
  </conditionalFormatting>
  <conditionalFormatting sqref="V50">
    <cfRule type="colorScale" priority="11">
      <colorScale>
        <cfvo type="min"/>
        <cfvo type="percentile" val="50"/>
        <cfvo type="max"/>
        <color rgb="FFF8696B"/>
        <color rgb="FFFFEB84"/>
        <color rgb="FF63BE7B"/>
      </colorScale>
    </cfRule>
  </conditionalFormatting>
  <conditionalFormatting sqref="R50:S50">
    <cfRule type="colorScale" priority="12">
      <colorScale>
        <cfvo type="min"/>
        <cfvo type="percentile" val="50"/>
        <cfvo type="max"/>
        <color rgb="FFF8696B"/>
        <color rgb="FFFFEB84"/>
        <color rgb="FF63BE7B"/>
      </colorScale>
    </cfRule>
  </conditionalFormatting>
  <conditionalFormatting sqref="W50">
    <cfRule type="colorScale" priority="13">
      <colorScale>
        <cfvo type="min"/>
        <cfvo type="max"/>
        <color rgb="FF63BE7B"/>
        <color rgb="FFFCFCFF"/>
      </colorScale>
    </cfRule>
    <cfRule type="colorScale" priority="14">
      <colorScale>
        <cfvo type="min"/>
        <cfvo type="percentile" val="50"/>
        <cfvo type="max"/>
        <color rgb="FFF8696B"/>
        <color rgb="FFFFEB84"/>
        <color rgb="FF63BE7B"/>
      </colorScale>
    </cfRule>
  </conditionalFormatting>
  <conditionalFormatting sqref="V50">
    <cfRule type="colorScale" priority="15">
      <colorScale>
        <cfvo type="min"/>
        <cfvo type="percentile" val="50"/>
        <cfvo type="max"/>
        <color rgb="FFF8696B"/>
        <color rgb="FFFFEB84"/>
        <color rgb="FF63BE7B"/>
      </colorScale>
    </cfRule>
  </conditionalFormatting>
  <conditionalFormatting sqref="W50">
    <cfRule type="colorScale" priority="16">
      <colorScale>
        <cfvo type="min"/>
        <cfvo type="max"/>
        <color rgb="FF63BE7B"/>
        <color rgb="FFFCFCFF"/>
      </colorScale>
    </cfRule>
  </conditionalFormatting>
  <conditionalFormatting sqref="R50:S50">
    <cfRule type="colorScale" priority="9">
      <colorScale>
        <cfvo type="min"/>
        <cfvo type="max"/>
        <color rgb="FFFCFCFF"/>
        <color rgb="FF63BE7B"/>
      </colorScale>
    </cfRule>
  </conditionalFormatting>
  <conditionalFormatting sqref="V50">
    <cfRule type="colorScale" priority="8">
      <colorScale>
        <cfvo type="min"/>
        <cfvo type="percentile" val="50"/>
        <cfvo type="max"/>
        <color rgb="FFF8696B"/>
        <color rgb="FFFFEB84"/>
        <color rgb="FF63BE7B"/>
      </colorScale>
    </cfRule>
  </conditionalFormatting>
  <conditionalFormatting sqref="R50">
    <cfRule type="colorScale" priority="6">
      <colorScale>
        <cfvo type="min"/>
        <cfvo type="max"/>
        <color rgb="FFFCFCFF"/>
        <color rgb="FF63BE7B"/>
      </colorScale>
    </cfRule>
  </conditionalFormatting>
  <conditionalFormatting sqref="R3:R179">
    <cfRule type="colorScale" priority="4">
      <colorScale>
        <cfvo type="min"/>
        <cfvo type="max"/>
        <color rgb="FFFCFCFF"/>
        <color rgb="FF63BE7B"/>
      </colorScale>
    </cfRule>
  </conditionalFormatting>
  <conditionalFormatting sqref="S3:S178">
    <cfRule type="colorScale" priority="3">
      <colorScale>
        <cfvo type="min"/>
        <cfvo type="max"/>
        <color rgb="FFFCFCFF"/>
        <color rgb="FF63BE7B"/>
      </colorScale>
    </cfRule>
  </conditionalFormatting>
  <conditionalFormatting sqref="V3:V178">
    <cfRule type="colorScale" priority="2">
      <colorScale>
        <cfvo type="min"/>
        <cfvo type="percentile" val="50"/>
        <cfvo type="max"/>
        <color rgb="FFF8696B"/>
        <color rgb="FFFFEB84"/>
        <color rgb="FF63BE7B"/>
      </colorScale>
    </cfRule>
  </conditionalFormatting>
  <conditionalFormatting sqref="W3:W178">
    <cfRule type="colorScale" priority="1">
      <colorScale>
        <cfvo type="min"/>
        <cfvo type="max"/>
        <color rgb="FF63BE7B"/>
        <color rgb="FFFCFCFF"/>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AC60745-4111-469B-A454-E7218E3E807B}">
          <x14:formula1>
            <xm:f>Lookup!$A$15:$A$18</xm:f>
          </x14:formula1>
          <xm:sqref>I4:I33</xm:sqref>
        </x14:dataValidation>
        <x14:dataValidation type="list" allowBlank="1" showInputMessage="1" showErrorMessage="1" xr:uid="{9BE84761-F7E0-4138-AFE6-EF246E0BB50E}">
          <x14:formula1>
            <xm:f>Lookup!$A$27:$A$31</xm:f>
          </x14:formula1>
          <xm:sqref>P4:P179</xm:sqref>
        </x14:dataValidation>
        <x14:dataValidation type="list" allowBlank="1" showInputMessage="1" showErrorMessage="1" xr:uid="{F1229AD4-0F17-40B1-952C-4D5E065082E5}">
          <x14:formula1>
            <xm:f>Lookup!$A$8:$A$12</xm:f>
          </x14:formula1>
          <xm:sqref>F4:F179</xm:sqref>
        </x14:dataValidation>
        <x14:dataValidation type="list" allowBlank="1" showInputMessage="1" showErrorMessage="1" xr:uid="{E3083CA0-24E1-4226-8D2F-AC6985012D22}">
          <x14:formula1>
            <xm:f>Lookup!$A$21:$A$24</xm:f>
          </x14:formula1>
          <xm:sqref>K4:K179</xm:sqref>
        </x14:dataValidation>
        <x14:dataValidation type="list" showInputMessage="1" showErrorMessage="1" xr:uid="{23950F79-FCE0-44E5-BC91-A9F0A743B8E5}">
          <x14:formula1>
            <xm:f>Lookup!$A$2:$A$5</xm:f>
          </x14:formula1>
          <xm:sqref>D4:D179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FA52-748F-46BB-9197-AA2A498C5A69}">
  <sheetPr filterMode="1">
    <tabColor rgb="FFFF0000"/>
  </sheetPr>
  <dimension ref="A1:N178"/>
  <sheetViews>
    <sheetView zoomScale="90" zoomScaleNormal="90" workbookViewId="0">
      <pane xSplit="2" ySplit="1" topLeftCell="C8" activePane="bottomRight" state="frozen"/>
      <selection pane="topRight" activeCell="D1" sqref="D1"/>
      <selection pane="bottomLeft" activeCell="A2" sqref="A2"/>
      <selection pane="bottomRight" activeCell="A22" sqref="A22"/>
    </sheetView>
  </sheetViews>
  <sheetFormatPr defaultColWidth="29.140625" defaultRowHeight="15" x14ac:dyDescent="0.25"/>
  <cols>
    <col min="1" max="1" width="13.5703125" style="5" customWidth="1"/>
    <col min="2" max="2" width="31.42578125" style="5" customWidth="1"/>
    <col min="3" max="6" width="18.140625" style="6" customWidth="1"/>
    <col min="7" max="13" width="19.140625" style="33" customWidth="1"/>
    <col min="14" max="14" width="19.140625" style="34" customWidth="1"/>
    <col min="15" max="17" width="27.85546875" style="5" customWidth="1"/>
    <col min="18" max="16384" width="29.140625" style="5"/>
  </cols>
  <sheetData>
    <row r="1" spans="1:14" s="29" customFormat="1" ht="75" x14ac:dyDescent="0.25">
      <c r="A1" s="4" t="s">
        <v>47</v>
      </c>
      <c r="B1" s="4" t="s">
        <v>48</v>
      </c>
      <c r="C1" s="25" t="s">
        <v>49</v>
      </c>
      <c r="D1" s="25" t="s">
        <v>60</v>
      </c>
      <c r="E1" s="25" t="s">
        <v>64</v>
      </c>
      <c r="F1" s="26" t="s">
        <v>65</v>
      </c>
      <c r="G1" s="32" t="s">
        <v>613</v>
      </c>
      <c r="H1" s="32" t="s">
        <v>614</v>
      </c>
      <c r="I1" s="32" t="s">
        <v>70</v>
      </c>
      <c r="J1" s="32" t="s">
        <v>71</v>
      </c>
      <c r="K1" s="32" t="s">
        <v>72</v>
      </c>
      <c r="L1" s="32" t="s">
        <v>73</v>
      </c>
      <c r="M1" s="32" t="s">
        <v>74</v>
      </c>
      <c r="N1" s="32" t="s">
        <v>75</v>
      </c>
    </row>
    <row r="2" spans="1:14" s="29" customFormat="1" ht="16.5" hidden="1" customHeight="1" x14ac:dyDescent="0.25">
      <c r="A2" s="29" t="s">
        <v>81</v>
      </c>
      <c r="B2" s="29" t="s">
        <v>81</v>
      </c>
      <c r="C2" s="25"/>
      <c r="D2" s="30">
        <v>20</v>
      </c>
      <c r="E2" s="6">
        <v>2000</v>
      </c>
      <c r="F2" s="6">
        <v>1</v>
      </c>
      <c r="G2" s="33">
        <v>0</v>
      </c>
      <c r="H2" s="39"/>
      <c r="I2" s="39"/>
      <c r="J2" s="39"/>
      <c r="K2" s="39"/>
      <c r="L2" s="39"/>
      <c r="M2" s="39"/>
      <c r="N2" s="34">
        <v>0</v>
      </c>
    </row>
    <row r="3" spans="1:14" s="29" customFormat="1" hidden="1" x14ac:dyDescent="0.25">
      <c r="A3" s="5" t="str">
        <f>INPUTS!B3</f>
        <v>Henderson</v>
      </c>
      <c r="B3" s="5" t="str">
        <f>INPUTS!C3</f>
        <v>Rathgar Road</v>
      </c>
      <c r="C3" s="6">
        <f>INPUTS!E3</f>
        <v>2</v>
      </c>
      <c r="D3" s="6">
        <f>INPUTS!R3</f>
        <v>17</v>
      </c>
      <c r="E3" s="6">
        <f>INPUTS!V3</f>
        <v>151.9</v>
      </c>
      <c r="F3" s="6">
        <f>INPUTS!W3</f>
        <v>5</v>
      </c>
      <c r="G3" s="33">
        <f>INPUTS!Z3</f>
        <v>4</v>
      </c>
      <c r="H3" s="33">
        <f>INPUTS!AA3</f>
        <v>1</v>
      </c>
      <c r="I3" s="33">
        <f>INPUTS!AB3</f>
        <v>1.2</v>
      </c>
      <c r="J3" s="33">
        <f>INPUTS!AC3</f>
        <v>0.3</v>
      </c>
      <c r="K3" s="33">
        <f>INPUTS!AD3</f>
        <v>1.2</v>
      </c>
      <c r="L3" s="33">
        <f>INPUTS!AE3</f>
        <v>0.3</v>
      </c>
      <c r="M3" s="33">
        <f>INPUTS!AF3</f>
        <v>0.56000000000000005</v>
      </c>
      <c r="N3" s="34">
        <f>INPUTS!AG3</f>
        <v>8.56</v>
      </c>
    </row>
    <row r="4" spans="1:14" s="29" customFormat="1" hidden="1" x14ac:dyDescent="0.25">
      <c r="A4" s="5" t="str">
        <f>INPUTS!B4</f>
        <v>Henderson</v>
      </c>
      <c r="B4" s="5" t="str">
        <f>INPUTS!C4</f>
        <v>Universal Drive</v>
      </c>
      <c r="C4" s="6">
        <f>INPUTS!E4</f>
        <v>1.8</v>
      </c>
      <c r="D4" s="6">
        <f>INPUTS!R4</f>
        <v>17</v>
      </c>
      <c r="E4" s="6">
        <f>INPUTS!V4</f>
        <v>87.09</v>
      </c>
      <c r="F4" s="6">
        <f>INPUTS!W4</f>
        <v>5</v>
      </c>
      <c r="G4" s="33">
        <f>INPUTS!Z4</f>
        <v>1.8</v>
      </c>
      <c r="H4" s="33">
        <f>INPUTS!AA4</f>
        <v>0</v>
      </c>
      <c r="I4" s="33">
        <f>INPUTS!AB4</f>
        <v>0.54</v>
      </c>
      <c r="J4" s="33">
        <f>INPUTS!AC4</f>
        <v>0</v>
      </c>
      <c r="K4" s="33">
        <f>INPUTS!AD4</f>
        <v>0.54</v>
      </c>
      <c r="L4" s="33">
        <f>INPUTS!AE4</f>
        <v>0</v>
      </c>
      <c r="M4" s="33">
        <f>INPUTS!AF4</f>
        <v>0.2016</v>
      </c>
      <c r="N4" s="34">
        <f>INPUTS!AG4</f>
        <v>11.6416</v>
      </c>
    </row>
    <row r="5" spans="1:14" hidden="1" x14ac:dyDescent="0.25">
      <c r="A5" s="5" t="str">
        <f>INPUTS!B5</f>
        <v>Henderson</v>
      </c>
      <c r="B5" s="5" t="str">
        <f>INPUTS!C5</f>
        <v>Swanson Rd; GNR</v>
      </c>
      <c r="C5" s="6">
        <f>INPUTS!E5</f>
        <v>2.2999999999999998</v>
      </c>
      <c r="D5" s="6">
        <f>INPUTS!R5</f>
        <v>12</v>
      </c>
      <c r="E5" s="6">
        <f>INPUTS!V5</f>
        <v>94.96</v>
      </c>
      <c r="F5" s="6">
        <f>INPUTS!W5</f>
        <v>5</v>
      </c>
      <c r="G5" s="33">
        <f>INPUTS!Z5</f>
        <v>5.75</v>
      </c>
      <c r="H5" s="33">
        <f>INPUTS!AA5</f>
        <v>0</v>
      </c>
      <c r="I5" s="33">
        <f>INPUTS!AB5</f>
        <v>1.7249999999999999</v>
      </c>
      <c r="J5" s="33">
        <f>INPUTS!AC5</f>
        <v>0</v>
      </c>
      <c r="K5" s="33">
        <f>INPUTS!AD5</f>
        <v>1.7249999999999999</v>
      </c>
      <c r="L5" s="33">
        <f>INPUTS!AE5</f>
        <v>0</v>
      </c>
      <c r="M5" s="33">
        <f>INPUTS!AF5</f>
        <v>0.64400000000000002</v>
      </c>
      <c r="N5" s="34">
        <f>INPUTS!AG5</f>
        <v>21.485599999999998</v>
      </c>
    </row>
    <row r="6" spans="1:14" hidden="1" x14ac:dyDescent="0.25">
      <c r="A6" s="5" t="str">
        <f>INPUTS!B6</f>
        <v>Māngere</v>
      </c>
      <c r="B6" s="5" t="str">
        <f>INPUTS!C6</f>
        <v>Walmsley Rd; Favona Road</v>
      </c>
      <c r="C6" s="6">
        <f>INPUTS!E6</f>
        <v>2.8</v>
      </c>
      <c r="D6" s="6">
        <f>INPUTS!R6</f>
        <v>13</v>
      </c>
      <c r="E6" s="6">
        <f>INPUTS!V6</f>
        <v>117.41000000000001</v>
      </c>
      <c r="F6" s="6">
        <f>INPUTS!W6</f>
        <v>5</v>
      </c>
      <c r="G6" s="33">
        <f>INPUTS!Z6</f>
        <v>11.2</v>
      </c>
      <c r="H6" s="33">
        <f>INPUTS!AA6</f>
        <v>18.5</v>
      </c>
      <c r="I6" s="33">
        <f>INPUTS!AB6</f>
        <v>3.36</v>
      </c>
      <c r="J6" s="33">
        <f>INPUTS!AC6</f>
        <v>5.55</v>
      </c>
      <c r="K6" s="33">
        <f>INPUTS!AD6</f>
        <v>3.36</v>
      </c>
      <c r="L6" s="33">
        <f>INPUTS!AE6</f>
        <v>5.55</v>
      </c>
      <c r="M6" s="33">
        <f>INPUTS!AF6</f>
        <v>3.3264</v>
      </c>
      <c r="N6" s="34">
        <f>INPUTS!AG6</f>
        <v>72.331999999999994</v>
      </c>
    </row>
    <row r="7" spans="1:14" hidden="1" x14ac:dyDescent="0.25">
      <c r="A7" s="5" t="str">
        <f>INPUTS!B7</f>
        <v>Māngere</v>
      </c>
      <c r="B7" s="5" t="str">
        <f>INPUTS!C7</f>
        <v>James Fletcher Road; Tui Street; Kaka Street</v>
      </c>
      <c r="C7" s="6">
        <f>INPUTS!E7</f>
        <v>1.5</v>
      </c>
      <c r="D7" s="6">
        <f>INPUTS!R7</f>
        <v>16</v>
      </c>
      <c r="E7" s="6">
        <f>INPUTS!V7</f>
        <v>138.82</v>
      </c>
      <c r="F7" s="6">
        <f>INPUTS!W7</f>
        <v>5</v>
      </c>
      <c r="G7" s="33">
        <f>INPUTS!Z7</f>
        <v>3</v>
      </c>
      <c r="H7" s="33">
        <f>INPUTS!AA7</f>
        <v>0</v>
      </c>
      <c r="I7" s="33">
        <f>INPUTS!AB7</f>
        <v>0.89999999999999991</v>
      </c>
      <c r="J7" s="33">
        <f>INPUTS!AC7</f>
        <v>0</v>
      </c>
      <c r="K7" s="33">
        <f>INPUTS!AD7</f>
        <v>0.89999999999999991</v>
      </c>
      <c r="L7" s="33">
        <f>INPUTS!AE7</f>
        <v>0</v>
      </c>
      <c r="M7" s="33">
        <f>INPUTS!AF7</f>
        <v>0.33600000000000002</v>
      </c>
      <c r="N7" s="34">
        <f>INPUTS!AG7</f>
        <v>77.467999999999989</v>
      </c>
    </row>
    <row r="8" spans="1:14" x14ac:dyDescent="0.25">
      <c r="A8" s="5" t="str">
        <f>INPUTS!B8</f>
        <v xml:space="preserve">Manukau </v>
      </c>
      <c r="B8" s="5" t="str">
        <f>INPUTS!C8</f>
        <v>Carruth Rd</v>
      </c>
      <c r="C8" s="6">
        <f>INPUTS!E8</f>
        <v>1</v>
      </c>
      <c r="D8" s="6">
        <f>INPUTS!R8</f>
        <v>14</v>
      </c>
      <c r="E8" s="6">
        <f>INPUTS!V8</f>
        <v>213.1</v>
      </c>
      <c r="F8" s="6">
        <f>INPUTS!W8</f>
        <v>5</v>
      </c>
      <c r="G8" s="33">
        <f>INPUTS!Z8</f>
        <v>2</v>
      </c>
      <c r="H8" s="33">
        <f>INPUTS!AA8</f>
        <v>0</v>
      </c>
      <c r="I8" s="33">
        <f>INPUTS!AB8</f>
        <v>0.6</v>
      </c>
      <c r="J8" s="33">
        <f>INPUTS!AC8</f>
        <v>0</v>
      </c>
      <c r="K8" s="33">
        <f>INPUTS!AD8</f>
        <v>0.6</v>
      </c>
      <c r="L8" s="33">
        <f>INPUTS!AE8</f>
        <v>0</v>
      </c>
      <c r="M8" s="33">
        <f>INPUTS!AF8</f>
        <v>0.22400000000000003</v>
      </c>
      <c r="N8" s="34">
        <f>INPUTS!AG8</f>
        <v>80.891999999999996</v>
      </c>
    </row>
    <row r="9" spans="1:14" x14ac:dyDescent="0.25">
      <c r="A9" s="5" t="str">
        <f>INPUTS!B9</f>
        <v xml:space="preserve">Manukau </v>
      </c>
      <c r="B9" s="5" t="str">
        <f>INPUTS!C9</f>
        <v>Druces Road</v>
      </c>
      <c r="C9" s="6">
        <f>INPUTS!E9</f>
        <v>1.6</v>
      </c>
      <c r="D9" s="6">
        <f>INPUTS!R9</f>
        <v>14</v>
      </c>
      <c r="E9" s="6">
        <f>INPUTS!V9</f>
        <v>116.72000000000001</v>
      </c>
      <c r="F9" s="6">
        <f>INPUTS!W9</f>
        <v>5</v>
      </c>
      <c r="G9" s="33">
        <f>INPUTS!Z9</f>
        <v>8</v>
      </c>
      <c r="H9" s="33">
        <f>INPUTS!AA9</f>
        <v>22.5</v>
      </c>
      <c r="I9" s="33">
        <f>INPUTS!AB9</f>
        <v>2.4</v>
      </c>
      <c r="J9" s="33">
        <f>INPUTS!AC9</f>
        <v>6.75</v>
      </c>
      <c r="K9" s="33">
        <f>INPUTS!AD9</f>
        <v>2.4</v>
      </c>
      <c r="L9" s="33">
        <f>INPUTS!AE9</f>
        <v>6.75</v>
      </c>
      <c r="M9" s="33">
        <f>INPUTS!AF9</f>
        <v>3.4159999999999999</v>
      </c>
      <c r="N9" s="34">
        <f>INPUTS!AG9</f>
        <v>133.108</v>
      </c>
    </row>
    <row r="10" spans="1:14" hidden="1" x14ac:dyDescent="0.25">
      <c r="A10" s="5" t="str">
        <f>INPUTS!B10</f>
        <v>Ōtāhuhu</v>
      </c>
      <c r="B10" s="5" t="str">
        <f>INPUTS!C10</f>
        <v>Station Rd; Mason Ave; GSR connection</v>
      </c>
      <c r="C10" s="6">
        <f>INPUTS!E10</f>
        <v>1.3</v>
      </c>
      <c r="D10" s="6">
        <f>INPUTS!R10</f>
        <v>16</v>
      </c>
      <c r="E10" s="6">
        <f>INPUTS!V10</f>
        <v>30.32</v>
      </c>
      <c r="F10" s="6">
        <f>INPUTS!W10</f>
        <v>10</v>
      </c>
      <c r="G10" s="33">
        <f>INPUTS!Z10</f>
        <v>6.5</v>
      </c>
      <c r="H10" s="33">
        <f>INPUTS!AA10</f>
        <v>0</v>
      </c>
      <c r="I10" s="33">
        <f>INPUTS!AB10</f>
        <v>1.95</v>
      </c>
      <c r="J10" s="33">
        <f>INPUTS!AC10</f>
        <v>0</v>
      </c>
      <c r="K10" s="33">
        <f>INPUTS!AD10</f>
        <v>1.95</v>
      </c>
      <c r="L10" s="33">
        <f>INPUTS!AE10</f>
        <v>0</v>
      </c>
      <c r="M10" s="33">
        <f>INPUTS!AF10</f>
        <v>0.72799999999999998</v>
      </c>
      <c r="N10" s="34">
        <f>INPUTS!AG10</f>
        <v>144.23599999999999</v>
      </c>
    </row>
    <row r="11" spans="1:14" hidden="1" x14ac:dyDescent="0.25">
      <c r="A11" s="5" t="str">
        <f>INPUTS!B11</f>
        <v>Ōtāhuhu</v>
      </c>
      <c r="B11" s="5" t="str">
        <f>INPUTS!C11</f>
        <v>High Street; Trenwith Street</v>
      </c>
      <c r="C11" s="6">
        <f>INPUTS!E11</f>
        <v>1</v>
      </c>
      <c r="D11" s="6">
        <f>INPUTS!R11</f>
        <v>17</v>
      </c>
      <c r="E11" s="6">
        <f>INPUTS!V11</f>
        <v>34.799999999999997</v>
      </c>
      <c r="F11" s="6">
        <f>INPUTS!W11</f>
        <v>10</v>
      </c>
      <c r="G11" s="33">
        <f>INPUTS!Z11</f>
        <v>2</v>
      </c>
      <c r="H11" s="33">
        <f>INPUTS!AA11</f>
        <v>0</v>
      </c>
      <c r="I11" s="33">
        <f>INPUTS!AB11</f>
        <v>0.6</v>
      </c>
      <c r="J11" s="33">
        <f>INPUTS!AC11</f>
        <v>0</v>
      </c>
      <c r="K11" s="33">
        <f>INPUTS!AD11</f>
        <v>0.6</v>
      </c>
      <c r="L11" s="33">
        <f>INPUTS!AE11</f>
        <v>0</v>
      </c>
      <c r="M11" s="33">
        <f>INPUTS!AF11</f>
        <v>0.22400000000000003</v>
      </c>
      <c r="N11" s="34">
        <f>INPUTS!AG11</f>
        <v>147.66</v>
      </c>
    </row>
    <row r="12" spans="1:14" hidden="1" x14ac:dyDescent="0.25">
      <c r="A12" s="5" t="str">
        <f>INPUTS!B12</f>
        <v>Manurewa</v>
      </c>
      <c r="B12" s="5" t="str">
        <f>INPUTS!C12</f>
        <v>Roscommon Road</v>
      </c>
      <c r="C12" s="6">
        <f>INPUTS!E12</f>
        <v>3.8</v>
      </c>
      <c r="D12" s="6">
        <f>INPUTS!R12</f>
        <v>16</v>
      </c>
      <c r="E12" s="6">
        <f>INPUTS!V12</f>
        <v>367.8</v>
      </c>
      <c r="F12" s="6">
        <f>INPUTS!W12</f>
        <v>10</v>
      </c>
      <c r="G12" s="33">
        <f>INPUTS!Z12</f>
        <v>7.6</v>
      </c>
      <c r="H12" s="33">
        <f>INPUTS!AA12</f>
        <v>0</v>
      </c>
      <c r="I12" s="33">
        <f>INPUTS!AB12</f>
        <v>2.2799999999999998</v>
      </c>
      <c r="J12" s="33">
        <f>INPUTS!AC12</f>
        <v>0</v>
      </c>
      <c r="K12" s="33">
        <f>INPUTS!AD12</f>
        <v>2.2799999999999998</v>
      </c>
      <c r="L12" s="33">
        <f>INPUTS!AE12</f>
        <v>0</v>
      </c>
      <c r="M12" s="33">
        <f>INPUTS!AF12</f>
        <v>0.85119999999999996</v>
      </c>
      <c r="N12" s="34">
        <f>INPUTS!AG12</f>
        <v>160.6712</v>
      </c>
    </row>
    <row r="13" spans="1:14" hidden="1" x14ac:dyDescent="0.25">
      <c r="A13" s="5" t="str">
        <f>INPUTS!B13</f>
        <v>Manurewa</v>
      </c>
      <c r="B13" s="5" t="str">
        <f>INPUTS!C13</f>
        <v>Mahia Road</v>
      </c>
      <c r="C13" s="6">
        <f>INPUTS!E13</f>
        <v>3.6</v>
      </c>
      <c r="D13" s="6">
        <f>INPUTS!R13</f>
        <v>15</v>
      </c>
      <c r="E13" s="6">
        <f>INPUTS!V13</f>
        <v>224.8</v>
      </c>
      <c r="F13" s="6">
        <f>INPUTS!W13</f>
        <v>10</v>
      </c>
      <c r="G13" s="33">
        <f>INPUTS!Z13</f>
        <v>7.2</v>
      </c>
      <c r="H13" s="33">
        <f>INPUTS!AA13</f>
        <v>0</v>
      </c>
      <c r="I13" s="33">
        <f>INPUTS!AB13</f>
        <v>2.16</v>
      </c>
      <c r="J13" s="33">
        <f>INPUTS!AC13</f>
        <v>0</v>
      </c>
      <c r="K13" s="33">
        <f>INPUTS!AD13</f>
        <v>2.16</v>
      </c>
      <c r="L13" s="33">
        <f>INPUTS!AE13</f>
        <v>0</v>
      </c>
      <c r="M13" s="33">
        <f>INPUTS!AF13</f>
        <v>0.80640000000000001</v>
      </c>
      <c r="N13" s="34">
        <f>INPUTS!AG13</f>
        <v>172.99760000000001</v>
      </c>
    </row>
    <row r="14" spans="1:14" hidden="1" x14ac:dyDescent="0.25">
      <c r="A14" s="5" t="str">
        <f>INPUTS!B14</f>
        <v>Westgate</v>
      </c>
      <c r="B14" s="5" t="str">
        <f>INPUTS!C14</f>
        <v>Hobsonville Rd; Buckley Ave</v>
      </c>
      <c r="C14" s="6">
        <f>INPUTS!E14</f>
        <v>5</v>
      </c>
      <c r="D14" s="6">
        <f>INPUTS!R14</f>
        <v>18</v>
      </c>
      <c r="E14" s="6">
        <f>INPUTS!V14</f>
        <v>197.5</v>
      </c>
      <c r="F14" s="6">
        <f>INPUTS!W14</f>
        <v>15</v>
      </c>
      <c r="G14" s="33">
        <f>INPUTS!Z14</f>
        <v>10</v>
      </c>
      <c r="H14" s="33">
        <f>INPUTS!AA14</f>
        <v>0</v>
      </c>
      <c r="I14" s="33">
        <f>INPUTS!AB14</f>
        <v>3</v>
      </c>
      <c r="J14" s="33">
        <f>INPUTS!AC14</f>
        <v>0</v>
      </c>
      <c r="K14" s="33">
        <f>INPUTS!AD14</f>
        <v>3</v>
      </c>
      <c r="L14" s="33">
        <f>INPUTS!AE14</f>
        <v>0</v>
      </c>
      <c r="M14" s="33">
        <f>INPUTS!AF14</f>
        <v>1.1200000000000001</v>
      </c>
      <c r="N14" s="34">
        <f>INPUTS!AG14</f>
        <v>190.11760000000001</v>
      </c>
    </row>
    <row r="15" spans="1:14" hidden="1" x14ac:dyDescent="0.25">
      <c r="A15" s="5" t="str">
        <f>INPUTS!B15</f>
        <v>Kelston</v>
      </c>
      <c r="B15" s="5" t="str">
        <f>INPUTS!C15</f>
        <v>Archibald Road</v>
      </c>
      <c r="C15" s="6">
        <f>INPUTS!E15</f>
        <v>1.5</v>
      </c>
      <c r="D15" s="6">
        <f>INPUTS!R15</f>
        <v>13</v>
      </c>
      <c r="E15" s="6">
        <f>INPUTS!V15</f>
        <v>104.5</v>
      </c>
      <c r="F15" s="6">
        <f>INPUTS!W15</f>
        <v>15</v>
      </c>
      <c r="G15" s="33">
        <f>INPUTS!Z15</f>
        <v>3</v>
      </c>
      <c r="H15" s="33">
        <f>INPUTS!AA15</f>
        <v>17</v>
      </c>
      <c r="I15" s="33">
        <f>INPUTS!AB15</f>
        <v>0.89999999999999991</v>
      </c>
      <c r="J15" s="33">
        <f>INPUTS!AC15</f>
        <v>5.0999999999999996</v>
      </c>
      <c r="K15" s="33">
        <f>INPUTS!AD15</f>
        <v>0.89999999999999991</v>
      </c>
      <c r="L15" s="33">
        <f>INPUTS!AE15</f>
        <v>5.0999999999999996</v>
      </c>
      <c r="M15" s="33">
        <f>INPUTS!AF15</f>
        <v>2.2400000000000002</v>
      </c>
      <c r="N15" s="34">
        <f>INPUTS!AG15</f>
        <v>224.35760000000002</v>
      </c>
    </row>
    <row r="16" spans="1:14" hidden="1" x14ac:dyDescent="0.25">
      <c r="A16" s="5" t="str">
        <f>INPUTS!B16</f>
        <v>New Lynn</v>
      </c>
      <c r="B16" s="5" t="str">
        <f>INPUTS!C16</f>
        <v>Titirangi Road</v>
      </c>
      <c r="C16" s="6">
        <f>INPUTS!E16</f>
        <v>2</v>
      </c>
      <c r="D16" s="6">
        <f>INPUTS!R16</f>
        <v>12</v>
      </c>
      <c r="E16" s="6">
        <f>INPUTS!V16</f>
        <v>89.8</v>
      </c>
      <c r="F16" s="6">
        <f>INPUTS!W16</f>
        <v>15</v>
      </c>
      <c r="G16" s="33">
        <f>INPUTS!Z16</f>
        <v>10</v>
      </c>
      <c r="H16" s="33">
        <f>INPUTS!AA16</f>
        <v>0</v>
      </c>
      <c r="I16" s="33">
        <f>INPUTS!AB16</f>
        <v>3</v>
      </c>
      <c r="J16" s="33">
        <f>INPUTS!AC16</f>
        <v>0</v>
      </c>
      <c r="K16" s="33">
        <f>INPUTS!AD16</f>
        <v>3</v>
      </c>
      <c r="L16" s="33">
        <f>INPUTS!AE16</f>
        <v>0</v>
      </c>
      <c r="M16" s="33">
        <f>INPUTS!AF16</f>
        <v>1.1200000000000001</v>
      </c>
      <c r="N16" s="34">
        <f>INPUTS!AG16</f>
        <v>241.47760000000002</v>
      </c>
    </row>
    <row r="17" spans="1:14" hidden="1" x14ac:dyDescent="0.25">
      <c r="A17" s="5" t="str">
        <f>INPUTS!B17</f>
        <v>New Lynn</v>
      </c>
      <c r="B17" s="5" t="str">
        <f>INPUTS!C17</f>
        <v>Rata Street</v>
      </c>
      <c r="C17" s="6">
        <f>INPUTS!E17</f>
        <v>1.2</v>
      </c>
      <c r="D17" s="6">
        <f>INPUTS!R17</f>
        <v>14</v>
      </c>
      <c r="E17" s="6">
        <f>INPUTS!V17</f>
        <v>450.50000000000006</v>
      </c>
      <c r="F17" s="6">
        <f>INPUTS!W17</f>
        <v>15</v>
      </c>
      <c r="G17" s="33">
        <f>INPUTS!Z17</f>
        <v>2.4</v>
      </c>
      <c r="H17" s="33">
        <f>INPUTS!AA17</f>
        <v>0</v>
      </c>
      <c r="I17" s="33">
        <f>INPUTS!AB17</f>
        <v>0.72</v>
      </c>
      <c r="J17" s="33">
        <f>INPUTS!AC17</f>
        <v>0</v>
      </c>
      <c r="K17" s="33">
        <f>INPUTS!AD17</f>
        <v>0.72</v>
      </c>
      <c r="L17" s="33">
        <f>INPUTS!AE17</f>
        <v>0</v>
      </c>
      <c r="M17" s="33">
        <f>INPUTS!AF17</f>
        <v>0.26880000000000004</v>
      </c>
      <c r="N17" s="34">
        <f>INPUTS!AG17</f>
        <v>245.58640000000003</v>
      </c>
    </row>
    <row r="18" spans="1:14" hidden="1" x14ac:dyDescent="0.25">
      <c r="A18" s="5" t="str">
        <f>INPUTS!B18</f>
        <v>New Lynn</v>
      </c>
      <c r="B18" s="5" t="str">
        <f>INPUTS!C18</f>
        <v>Ash Street</v>
      </c>
      <c r="C18" s="6">
        <f>INPUTS!E18</f>
        <v>1.2</v>
      </c>
      <c r="D18" s="6">
        <f>INPUTS!R18</f>
        <v>15</v>
      </c>
      <c r="E18" s="6">
        <f>INPUTS!V18</f>
        <v>469.5</v>
      </c>
      <c r="F18" s="6">
        <f>INPUTS!W18</f>
        <v>15</v>
      </c>
      <c r="G18" s="33">
        <f>INPUTS!Z18</f>
        <v>2.4</v>
      </c>
      <c r="H18" s="33">
        <f>INPUTS!AA18</f>
        <v>0</v>
      </c>
      <c r="I18" s="33">
        <f>INPUTS!AB18</f>
        <v>0.72</v>
      </c>
      <c r="J18" s="33">
        <f>INPUTS!AC18</f>
        <v>0</v>
      </c>
      <c r="K18" s="33">
        <f>INPUTS!AD18</f>
        <v>0.72</v>
      </c>
      <c r="L18" s="33">
        <f>INPUTS!AE18</f>
        <v>0</v>
      </c>
      <c r="M18" s="33">
        <f>INPUTS!AF18</f>
        <v>0.26880000000000004</v>
      </c>
      <c r="N18" s="34">
        <f>INPUTS!AG18</f>
        <v>249.69520000000003</v>
      </c>
    </row>
    <row r="19" spans="1:14" hidden="1" x14ac:dyDescent="0.25">
      <c r="A19" s="5" t="str">
        <f>INPUTS!B19</f>
        <v>Avondale</v>
      </c>
      <c r="B19" s="5" t="str">
        <f>INPUTS!C19</f>
        <v>Rosebank Road</v>
      </c>
      <c r="C19" s="6">
        <f>INPUTS!E19</f>
        <v>5</v>
      </c>
      <c r="D19" s="6">
        <f>INPUTS!R19</f>
        <v>16</v>
      </c>
      <c r="E19" s="6">
        <f>INPUTS!V19</f>
        <v>149.03333333333333</v>
      </c>
      <c r="F19" s="6">
        <f>INPUTS!W19</f>
        <v>15</v>
      </c>
      <c r="G19" s="33">
        <f>INPUTS!Z19</f>
        <v>15</v>
      </c>
      <c r="H19" s="33">
        <f>INPUTS!AA19</f>
        <v>0</v>
      </c>
      <c r="I19" s="33">
        <f>INPUTS!AB19</f>
        <v>4.5</v>
      </c>
      <c r="J19" s="33">
        <f>INPUTS!AC19</f>
        <v>0</v>
      </c>
      <c r="K19" s="33">
        <f>INPUTS!AD19</f>
        <v>4.5</v>
      </c>
      <c r="L19" s="33">
        <f>INPUTS!AE19</f>
        <v>0</v>
      </c>
      <c r="M19" s="33">
        <f>INPUTS!AF19</f>
        <v>1.6800000000000002</v>
      </c>
      <c r="N19" s="34">
        <f>INPUTS!AG19</f>
        <v>275.37520000000001</v>
      </c>
    </row>
    <row r="20" spans="1:14" hidden="1" x14ac:dyDescent="0.25">
      <c r="A20" s="5" t="str">
        <f>INPUTS!B20</f>
        <v>Takapuna</v>
      </c>
      <c r="B20" s="5" t="str">
        <f>INPUTS!C20</f>
        <v>Kitchener Rd; Hurstmere Rd</v>
      </c>
      <c r="C20" s="6">
        <f>INPUTS!E20</f>
        <v>2.2000000000000002</v>
      </c>
      <c r="D20" s="6">
        <f>INPUTS!R20</f>
        <v>19</v>
      </c>
      <c r="E20" s="6">
        <f>INPUTS!V20</f>
        <v>127.49999999999999</v>
      </c>
      <c r="F20" s="6">
        <f>INPUTS!W20</f>
        <v>20</v>
      </c>
      <c r="G20" s="33">
        <f>INPUTS!Z20</f>
        <v>4.4000000000000004</v>
      </c>
      <c r="H20" s="33">
        <f>INPUTS!AA20</f>
        <v>0</v>
      </c>
      <c r="I20" s="33">
        <f>INPUTS!AB20</f>
        <v>1.32</v>
      </c>
      <c r="J20" s="33">
        <f>INPUTS!AC20</f>
        <v>0</v>
      </c>
      <c r="K20" s="33">
        <f>INPUTS!AD20</f>
        <v>1.32</v>
      </c>
      <c r="L20" s="33">
        <f>INPUTS!AE20</f>
        <v>0</v>
      </c>
      <c r="M20" s="33">
        <f>INPUTS!AF20</f>
        <v>0.49280000000000013</v>
      </c>
      <c r="N20" s="34">
        <f>INPUTS!AG20</f>
        <v>282.90800000000002</v>
      </c>
    </row>
    <row r="21" spans="1:14" hidden="1" x14ac:dyDescent="0.25">
      <c r="A21" s="5" t="str">
        <f>INPUTS!B21</f>
        <v>Takapuna</v>
      </c>
      <c r="B21" s="5" t="str">
        <f>INPUTS!C21</f>
        <v>Anzac St</v>
      </c>
      <c r="C21" s="6">
        <f>INPUTS!E21</f>
        <v>1.1000000000000001</v>
      </c>
      <c r="D21" s="6">
        <f>INPUTS!R21</f>
        <v>15</v>
      </c>
      <c r="E21" s="6">
        <f>INPUTS!V21</f>
        <v>105</v>
      </c>
      <c r="F21" s="6">
        <f>INPUTS!W21</f>
        <v>20</v>
      </c>
      <c r="G21" s="33">
        <f>INPUTS!Z21</f>
        <v>5.5</v>
      </c>
      <c r="H21" s="33">
        <f>INPUTS!AA21</f>
        <v>0</v>
      </c>
      <c r="I21" s="33">
        <f>INPUTS!AB21</f>
        <v>1.65</v>
      </c>
      <c r="J21" s="33">
        <f>INPUTS!AC21</f>
        <v>0</v>
      </c>
      <c r="K21" s="33">
        <f>INPUTS!AD21</f>
        <v>1.65</v>
      </c>
      <c r="L21" s="33">
        <f>INPUTS!AE21</f>
        <v>0</v>
      </c>
      <c r="M21" s="33">
        <f>INPUTS!AF21</f>
        <v>0.6160000000000001</v>
      </c>
      <c r="N21" s="34">
        <f>INPUTS!AG21</f>
        <v>292.32400000000001</v>
      </c>
    </row>
    <row r="22" spans="1:14" hidden="1" x14ac:dyDescent="0.25">
      <c r="A22" s="5" t="str">
        <f>INPUTS!B22</f>
        <v>Onehunga</v>
      </c>
      <c r="B22" s="5" t="str">
        <f>INPUTS!C22</f>
        <v>Mt Smart Rd (west of Onehunga Mall Rd); Onehunga Mall Rd</v>
      </c>
      <c r="C22" s="6">
        <f>INPUTS!E22</f>
        <v>2.8</v>
      </c>
      <c r="D22" s="6">
        <f>INPUTS!R22</f>
        <v>16</v>
      </c>
      <c r="E22" s="6">
        <f>INPUTS!V22</f>
        <v>634.5</v>
      </c>
      <c r="F22" s="6">
        <f>INPUTS!W22</f>
        <v>20</v>
      </c>
      <c r="G22" s="33">
        <f>INPUTS!Z22</f>
        <v>5.6</v>
      </c>
      <c r="H22" s="33">
        <f>INPUTS!AA22</f>
        <v>0</v>
      </c>
      <c r="I22" s="33">
        <f>INPUTS!AB22</f>
        <v>1.68</v>
      </c>
      <c r="J22" s="33">
        <f>INPUTS!AC22</f>
        <v>0</v>
      </c>
      <c r="K22" s="33">
        <f>INPUTS!AD22</f>
        <v>1.68</v>
      </c>
      <c r="L22" s="33">
        <f>INPUTS!AE22</f>
        <v>0</v>
      </c>
      <c r="M22" s="33">
        <f>INPUTS!AF22</f>
        <v>0.62719999999999998</v>
      </c>
      <c r="N22" s="34">
        <f>INPUTS!AG22</f>
        <v>301.91120000000001</v>
      </c>
    </row>
    <row r="23" spans="1:14" hidden="1" x14ac:dyDescent="0.25">
      <c r="A23" s="5" t="str">
        <f>INPUTS!B23</f>
        <v>Onehunga</v>
      </c>
      <c r="B23" s="5" t="str">
        <f>INPUTS!C23</f>
        <v>Hendry Ave</v>
      </c>
      <c r="C23" s="6">
        <f>INPUTS!E23</f>
        <v>1</v>
      </c>
      <c r="D23" s="6">
        <f>INPUTS!R23</f>
        <v>16</v>
      </c>
      <c r="E23" s="6">
        <f>INPUTS!V23</f>
        <v>71.5</v>
      </c>
      <c r="F23" s="6">
        <f>INPUTS!W23</f>
        <v>20</v>
      </c>
      <c r="G23" s="33">
        <f>INPUTS!Z23</f>
        <v>2</v>
      </c>
      <c r="H23" s="33">
        <f>INPUTS!AA23</f>
        <v>0</v>
      </c>
      <c r="I23" s="33">
        <f>INPUTS!AB23</f>
        <v>0.6</v>
      </c>
      <c r="J23" s="33">
        <f>INPUTS!AC23</f>
        <v>0</v>
      </c>
      <c r="K23" s="33">
        <f>INPUTS!AD23</f>
        <v>0.6</v>
      </c>
      <c r="L23" s="33">
        <f>INPUTS!AE23</f>
        <v>0</v>
      </c>
      <c r="M23" s="33">
        <f>INPUTS!AF23</f>
        <v>0.22400000000000003</v>
      </c>
      <c r="N23" s="34">
        <f>INPUTS!AG23</f>
        <v>305.33519999999999</v>
      </c>
    </row>
    <row r="24" spans="1:14" hidden="1" x14ac:dyDescent="0.25">
      <c r="A24" s="5" t="str">
        <f>INPUTS!B24</f>
        <v>Panmure</v>
      </c>
      <c r="B24" s="5" t="str">
        <f>INPUTS!C24</f>
        <v>Pilkington Road; Queens Rd</v>
      </c>
      <c r="C24" s="6">
        <f>INPUTS!E24</f>
        <v>1.9</v>
      </c>
      <c r="D24" s="6">
        <f>INPUTS!R24</f>
        <v>15</v>
      </c>
      <c r="E24" s="6">
        <f>INPUTS!V24</f>
        <v>110.05999999999999</v>
      </c>
      <c r="F24" s="6">
        <f>INPUTS!W24</f>
        <v>20</v>
      </c>
      <c r="G24" s="33">
        <f>INPUTS!Z24</f>
        <v>0</v>
      </c>
      <c r="H24" s="33">
        <f>INPUTS!AA24</f>
        <v>0</v>
      </c>
      <c r="I24" s="33">
        <f>INPUTS!AB24</f>
        <v>0</v>
      </c>
      <c r="J24" s="33">
        <f>INPUTS!AC24</f>
        <v>0</v>
      </c>
      <c r="K24" s="33">
        <f>INPUTS!AD24</f>
        <v>0</v>
      </c>
      <c r="L24" s="33">
        <f>INPUTS!AE24</f>
        <v>0</v>
      </c>
      <c r="M24" s="33">
        <f>INPUTS!AF24</f>
        <v>0</v>
      </c>
      <c r="N24" s="34">
        <f>INPUTS!AG24</f>
        <v>305.33519999999999</v>
      </c>
    </row>
    <row r="25" spans="1:14" hidden="1" x14ac:dyDescent="0.25">
      <c r="A25" s="5" t="str">
        <f>INPUTS!B25</f>
        <v>Mt Wellington</v>
      </c>
      <c r="B25" s="5" t="str">
        <f>INPUTS!C25</f>
        <v>Mt Wellington Highway (north of SE Highway off-ramp)</v>
      </c>
      <c r="C25" s="6">
        <f>INPUTS!E25</f>
        <v>2.2000000000000002</v>
      </c>
      <c r="D25" s="6">
        <f>INPUTS!R25</f>
        <v>13</v>
      </c>
      <c r="E25" s="6">
        <f>INPUTS!V25</f>
        <v>72.250000000000014</v>
      </c>
      <c r="F25" s="6">
        <f>INPUTS!W25</f>
        <v>20</v>
      </c>
      <c r="G25" s="33">
        <f>INPUTS!Z25</f>
        <v>0</v>
      </c>
      <c r="H25" s="33">
        <f>INPUTS!AA25</f>
        <v>18</v>
      </c>
      <c r="I25" s="33">
        <f>INPUTS!AB25</f>
        <v>0</v>
      </c>
      <c r="J25" s="33">
        <f>INPUTS!AC25</f>
        <v>5.3999999999999995</v>
      </c>
      <c r="K25" s="33">
        <f>INPUTS!AD25</f>
        <v>0</v>
      </c>
      <c r="L25" s="33">
        <f>INPUTS!AE25</f>
        <v>5.3999999999999995</v>
      </c>
      <c r="M25" s="33">
        <f>INPUTS!AF25</f>
        <v>2.016</v>
      </c>
      <c r="N25" s="34">
        <f>INPUTS!AG25</f>
        <v>336.15119999999996</v>
      </c>
    </row>
    <row r="26" spans="1:14" hidden="1" x14ac:dyDescent="0.25">
      <c r="A26" s="5" t="str">
        <f>INPUTS!B26</f>
        <v>Mt Wellington</v>
      </c>
      <c r="B26" s="5" t="str">
        <f>INPUTS!C26</f>
        <v>Waipuna Road</v>
      </c>
      <c r="C26" s="6">
        <f>INPUTS!E26</f>
        <v>1.9</v>
      </c>
      <c r="D26" s="6">
        <f>INPUTS!R26</f>
        <v>16</v>
      </c>
      <c r="E26" s="6">
        <f>INPUTS!V26</f>
        <v>464</v>
      </c>
      <c r="F26" s="6">
        <f>INPUTS!W26</f>
        <v>20</v>
      </c>
      <c r="G26" s="33">
        <f>INPUTS!Z26</f>
        <v>3.8</v>
      </c>
      <c r="H26" s="33">
        <f>INPUTS!AA26</f>
        <v>0</v>
      </c>
      <c r="I26" s="33">
        <f>INPUTS!AB26</f>
        <v>1.1399999999999999</v>
      </c>
      <c r="J26" s="33">
        <f>INPUTS!AC26</f>
        <v>0</v>
      </c>
      <c r="K26" s="33">
        <f>INPUTS!AD26</f>
        <v>1.1399999999999999</v>
      </c>
      <c r="L26" s="33">
        <f>INPUTS!AE26</f>
        <v>0</v>
      </c>
      <c r="M26" s="33">
        <f>INPUTS!AF26</f>
        <v>0.42559999999999998</v>
      </c>
      <c r="N26" s="34">
        <f>INPUTS!AG26</f>
        <v>342.65679999999998</v>
      </c>
    </row>
    <row r="27" spans="1:14" hidden="1" x14ac:dyDescent="0.25">
      <c r="A27" s="5" t="str">
        <f>INPUTS!B27</f>
        <v>Botany</v>
      </c>
      <c r="B27" s="5" t="str">
        <f>INPUTS!C27</f>
        <v>Botany Rd</v>
      </c>
      <c r="C27" s="6">
        <f>INPUTS!E27</f>
        <v>3.4</v>
      </c>
      <c r="D27" s="6">
        <f>INPUTS!R27</f>
        <v>15</v>
      </c>
      <c r="E27" s="6">
        <f>INPUTS!V27</f>
        <v>400</v>
      </c>
      <c r="F27" s="6">
        <f>INPUTS!W27</f>
        <v>20</v>
      </c>
      <c r="G27" s="33">
        <f>INPUTS!Z27</f>
        <v>6.8</v>
      </c>
      <c r="H27" s="33">
        <f>INPUTS!AA27</f>
        <v>0</v>
      </c>
      <c r="I27" s="33">
        <f>INPUTS!AB27</f>
        <v>2.04</v>
      </c>
      <c r="J27" s="33">
        <f>INPUTS!AC27</f>
        <v>0</v>
      </c>
      <c r="K27" s="33">
        <f>INPUTS!AD27</f>
        <v>2.04</v>
      </c>
      <c r="L27" s="33">
        <f>INPUTS!AE27</f>
        <v>0</v>
      </c>
      <c r="M27" s="33">
        <f>INPUTS!AF27</f>
        <v>0.76160000000000005</v>
      </c>
      <c r="N27" s="34">
        <f>INPUTS!AG27</f>
        <v>354.29839999999996</v>
      </c>
    </row>
    <row r="28" spans="1:14" hidden="1" x14ac:dyDescent="0.25">
      <c r="A28" s="5" t="str">
        <f>INPUTS!B28</f>
        <v>Botany</v>
      </c>
      <c r="B28" s="5" t="str">
        <f>INPUTS!C28</f>
        <v>Chapel Road; Ti Rakau Dr</v>
      </c>
      <c r="C28" s="6">
        <f>INPUTS!E28</f>
        <v>2.8</v>
      </c>
      <c r="D28" s="6">
        <f>INPUTS!R28</f>
        <v>18</v>
      </c>
      <c r="E28" s="6">
        <f>INPUTS!V28</f>
        <v>212.5</v>
      </c>
      <c r="F28" s="6">
        <f>INPUTS!W28</f>
        <v>20</v>
      </c>
      <c r="G28" s="33">
        <f>INPUTS!Z28</f>
        <v>5.6</v>
      </c>
      <c r="H28" s="33">
        <f>INPUTS!AA28</f>
        <v>0</v>
      </c>
      <c r="I28" s="33">
        <f>INPUTS!AB28</f>
        <v>1.68</v>
      </c>
      <c r="J28" s="33">
        <f>INPUTS!AC28</f>
        <v>0</v>
      </c>
      <c r="K28" s="33">
        <f>INPUTS!AD28</f>
        <v>1.68</v>
      </c>
      <c r="L28" s="33">
        <f>INPUTS!AE28</f>
        <v>0</v>
      </c>
      <c r="M28" s="33">
        <f>INPUTS!AF28</f>
        <v>0.62719999999999998</v>
      </c>
      <c r="N28" s="34">
        <f>INPUTS!AG28</f>
        <v>363.88559999999995</v>
      </c>
    </row>
    <row r="29" spans="1:14" hidden="1" x14ac:dyDescent="0.25">
      <c r="A29" s="5" t="str">
        <f>INPUTS!B29</f>
        <v xml:space="preserve">Albany </v>
      </c>
      <c r="B29" s="5" t="str">
        <f>INPUTS!C29</f>
        <v>East Coast Rd (south of Oteha Valley Rd to Rosedale Rd)</v>
      </c>
      <c r="C29" s="6">
        <f>INPUTS!E29</f>
        <v>3</v>
      </c>
      <c r="D29" s="6">
        <f>INPUTS!R29</f>
        <v>16</v>
      </c>
      <c r="E29" s="6">
        <f>INPUTS!V29</f>
        <v>225.25</v>
      </c>
      <c r="F29" s="6">
        <f>INPUTS!W29</f>
        <v>25</v>
      </c>
      <c r="G29" s="33">
        <f>INPUTS!Z29</f>
        <v>6</v>
      </c>
      <c r="H29" s="33">
        <f>INPUTS!AA29</f>
        <v>0</v>
      </c>
      <c r="I29" s="33">
        <f>INPUTS!AB29</f>
        <v>1.7999999999999998</v>
      </c>
      <c r="J29" s="33">
        <f>INPUTS!AC29</f>
        <v>0</v>
      </c>
      <c r="K29" s="33">
        <f>INPUTS!AD29</f>
        <v>1.7999999999999998</v>
      </c>
      <c r="L29" s="33">
        <f>INPUTS!AE29</f>
        <v>0</v>
      </c>
      <c r="M29" s="33">
        <f>INPUTS!AF29</f>
        <v>0.67200000000000004</v>
      </c>
      <c r="N29" s="34">
        <f>INPUTS!AG29</f>
        <v>374.15759999999995</v>
      </c>
    </row>
    <row r="30" spans="1:14" hidden="1" x14ac:dyDescent="0.25">
      <c r="A30" s="5" t="str">
        <f>INPUTS!B30</f>
        <v>Sunnynook</v>
      </c>
      <c r="B30" s="5" t="str">
        <f>INPUTS!C30</f>
        <v>Albany Highway; Goldfinch Rise</v>
      </c>
      <c r="C30" s="6">
        <f>INPUTS!E30</f>
        <v>2</v>
      </c>
      <c r="D30" s="6">
        <f>INPUTS!R30</f>
        <v>12</v>
      </c>
      <c r="E30" s="6">
        <f>INPUTS!V30</f>
        <v>77.47999999999999</v>
      </c>
      <c r="F30" s="6">
        <f>INPUTS!W30</f>
        <v>25</v>
      </c>
      <c r="G30" s="33">
        <f>INPUTS!Z30</f>
        <v>10</v>
      </c>
      <c r="H30" s="33">
        <f>INPUTS!AA30</f>
        <v>0</v>
      </c>
      <c r="I30" s="33">
        <f>INPUTS!AB30</f>
        <v>3</v>
      </c>
      <c r="J30" s="33">
        <f>INPUTS!AC30</f>
        <v>0</v>
      </c>
      <c r="K30" s="33">
        <f>INPUTS!AD30</f>
        <v>3</v>
      </c>
      <c r="L30" s="33">
        <f>INPUTS!AE30</f>
        <v>0</v>
      </c>
      <c r="M30" s="33">
        <f>INPUTS!AF30</f>
        <v>1.1200000000000001</v>
      </c>
      <c r="N30" s="34">
        <f>INPUTS!AG30</f>
        <v>391.27759999999995</v>
      </c>
    </row>
    <row r="31" spans="1:14" hidden="1" x14ac:dyDescent="0.25">
      <c r="A31" s="5" t="str">
        <f>INPUTS!B31</f>
        <v>Sunnynook</v>
      </c>
      <c r="B31" s="5" t="str">
        <f>INPUTS!C31</f>
        <v>Sunnynook Road</v>
      </c>
      <c r="C31" s="6">
        <f>INPUTS!E31</f>
        <v>1.5</v>
      </c>
      <c r="D31" s="6">
        <f>INPUTS!R31</f>
        <v>16</v>
      </c>
      <c r="E31" s="6">
        <f>INPUTS!V31</f>
        <v>82.079999999999984</v>
      </c>
      <c r="F31" s="6">
        <f>INPUTS!W31</f>
        <v>30</v>
      </c>
      <c r="G31" s="33">
        <f>INPUTS!Z31</f>
        <v>7.5</v>
      </c>
      <c r="H31" s="33">
        <f>INPUTS!AA31</f>
        <v>0</v>
      </c>
      <c r="I31" s="33">
        <f>INPUTS!AB31</f>
        <v>2.25</v>
      </c>
      <c r="J31" s="33">
        <f>INPUTS!AC31</f>
        <v>0</v>
      </c>
      <c r="K31" s="33">
        <f>INPUTS!AD31</f>
        <v>2.25</v>
      </c>
      <c r="L31" s="33">
        <f>INPUTS!AE31</f>
        <v>0</v>
      </c>
      <c r="M31" s="33">
        <f>INPUTS!AF31</f>
        <v>0.84000000000000008</v>
      </c>
      <c r="N31" s="34">
        <f>INPUTS!AG31</f>
        <v>404.11759999999992</v>
      </c>
    </row>
    <row r="32" spans="1:14" hidden="1" x14ac:dyDescent="0.25">
      <c r="A32" s="5" t="str">
        <f>INPUTS!B32</f>
        <v>Sunnynook</v>
      </c>
      <c r="B32" s="5" t="str">
        <f>INPUTS!C32</f>
        <v>Wairau Road</v>
      </c>
      <c r="C32" s="6">
        <f>INPUTS!E32</f>
        <v>2</v>
      </c>
      <c r="D32" s="6">
        <f>INPUTS!R32</f>
        <v>13</v>
      </c>
      <c r="E32" s="6">
        <f>INPUTS!V32</f>
        <v>113.47999999999999</v>
      </c>
      <c r="F32" s="6">
        <f>INPUTS!W32</f>
        <v>30</v>
      </c>
      <c r="G32" s="33">
        <f>INPUTS!Z32</f>
        <v>10</v>
      </c>
      <c r="H32" s="33">
        <f>INPUTS!AA32</f>
        <v>0</v>
      </c>
      <c r="I32" s="33">
        <f>INPUTS!AB32</f>
        <v>3</v>
      </c>
      <c r="J32" s="33">
        <f>INPUTS!AC32</f>
        <v>0</v>
      </c>
      <c r="K32" s="33">
        <f>INPUTS!AD32</f>
        <v>3</v>
      </c>
      <c r="L32" s="33">
        <f>INPUTS!AE32</f>
        <v>0</v>
      </c>
      <c r="M32" s="33">
        <f>INPUTS!AF32</f>
        <v>1.1200000000000001</v>
      </c>
      <c r="N32" s="34">
        <f>INPUTS!AG32</f>
        <v>421.23759999999993</v>
      </c>
    </row>
    <row r="33" spans="1:14" hidden="1" x14ac:dyDescent="0.25">
      <c r="A33" s="5" t="str">
        <f>INPUTS!B33</f>
        <v>Smales Farm</v>
      </c>
      <c r="B33" s="5" t="str">
        <f>INPUTS!C33</f>
        <v>Tristram Avenue (east)</v>
      </c>
      <c r="C33" s="6">
        <f>INPUTS!E33</f>
        <v>0.5</v>
      </c>
      <c r="D33" s="6">
        <f>INPUTS!R33</f>
        <v>16</v>
      </c>
      <c r="E33" s="6">
        <f>INPUTS!V33</f>
        <v>61.1</v>
      </c>
      <c r="F33" s="6">
        <f>INPUTS!W33</f>
        <v>30</v>
      </c>
      <c r="G33" s="33">
        <f>INPUTS!Z33</f>
        <v>1</v>
      </c>
      <c r="H33" s="33">
        <f>INPUTS!AA33</f>
        <v>13</v>
      </c>
      <c r="I33" s="33">
        <f>INPUTS!AB33</f>
        <v>0.3</v>
      </c>
      <c r="J33" s="33">
        <f>INPUTS!AC33</f>
        <v>3.9</v>
      </c>
      <c r="K33" s="33">
        <f>INPUTS!AD33</f>
        <v>0.3</v>
      </c>
      <c r="L33" s="33">
        <f>INPUTS!AE33</f>
        <v>3.9</v>
      </c>
      <c r="M33" s="33">
        <f>INPUTS!AF33</f>
        <v>1.5680000000000001</v>
      </c>
      <c r="N33" s="34">
        <f>INPUTS!AG33</f>
        <v>445.20559999999995</v>
      </c>
    </row>
    <row r="34" spans="1:14" hidden="1" x14ac:dyDescent="0.25">
      <c r="A34" s="5" t="str">
        <f>INPUTS!B34</f>
        <v>Smales Farm</v>
      </c>
      <c r="B34" s="5" t="str">
        <f>INPUTS!C34</f>
        <v>Chivalry Road</v>
      </c>
      <c r="C34" s="6">
        <f>INPUTS!E34</f>
        <v>1.6</v>
      </c>
      <c r="D34" s="6">
        <f>INPUTS!R34</f>
        <v>15</v>
      </c>
      <c r="E34" s="6">
        <f>INPUTS!V34</f>
        <v>61.1</v>
      </c>
      <c r="F34" s="6">
        <f>INPUTS!W34</f>
        <v>30</v>
      </c>
      <c r="G34" s="33">
        <f>INPUTS!Z34</f>
        <v>3.2</v>
      </c>
      <c r="H34" s="33">
        <f>INPUTS!AA34</f>
        <v>0</v>
      </c>
      <c r="I34" s="33">
        <f>INPUTS!AB34</f>
        <v>0.96</v>
      </c>
      <c r="J34" s="33">
        <f>INPUTS!AC34</f>
        <v>0</v>
      </c>
      <c r="K34" s="33">
        <f>INPUTS!AD34</f>
        <v>0.96</v>
      </c>
      <c r="L34" s="33">
        <f>INPUTS!AE34</f>
        <v>0</v>
      </c>
      <c r="M34" s="33">
        <f>INPUTS!AF34</f>
        <v>0.35840000000000005</v>
      </c>
      <c r="N34" s="34">
        <f>INPUTS!AG34</f>
        <v>450.68399999999997</v>
      </c>
    </row>
    <row r="35" spans="1:14" hidden="1" x14ac:dyDescent="0.25">
      <c r="A35" s="5" t="str">
        <f>INPUTS!B35</f>
        <v>Smales Farm</v>
      </c>
      <c r="B35" s="5" t="str">
        <f>INPUTS!C35</f>
        <v>Sunnybrae Road</v>
      </c>
      <c r="C35" s="6">
        <f>INPUTS!E35</f>
        <v>1.5</v>
      </c>
      <c r="D35" s="6">
        <f>INPUTS!R35</f>
        <v>14</v>
      </c>
      <c r="E35" s="6">
        <f>INPUTS!V35</f>
        <v>61.1</v>
      </c>
      <c r="F35" s="6">
        <f>INPUTS!W35</f>
        <v>30</v>
      </c>
      <c r="G35" s="33">
        <f>INPUTS!Z35</f>
        <v>3</v>
      </c>
      <c r="H35" s="33">
        <f>INPUTS!AA35</f>
        <v>0</v>
      </c>
      <c r="I35" s="33">
        <f>INPUTS!AB35</f>
        <v>0.89999999999999991</v>
      </c>
      <c r="J35" s="33">
        <f>INPUTS!AC35</f>
        <v>0</v>
      </c>
      <c r="K35" s="33">
        <f>INPUTS!AD35</f>
        <v>0.89999999999999991</v>
      </c>
      <c r="L35" s="33">
        <f>INPUTS!AE35</f>
        <v>0</v>
      </c>
      <c r="M35" s="33">
        <f>INPUTS!AF35</f>
        <v>0.33600000000000002</v>
      </c>
      <c r="N35" s="34">
        <f>INPUTS!AG35</f>
        <v>455.82</v>
      </c>
    </row>
    <row r="36" spans="1:14" hidden="1" x14ac:dyDescent="0.25">
      <c r="A36" s="5" t="str">
        <f>INPUTS!B36</f>
        <v>Eastern Bays</v>
      </c>
      <c r="B36" s="5" t="str">
        <f>INPUTS!C36</f>
        <v>St Heliers Bay Rd</v>
      </c>
      <c r="C36" s="6">
        <f>INPUTS!E36</f>
        <v>2.6</v>
      </c>
      <c r="D36" s="6">
        <f>INPUTS!R36</f>
        <v>13</v>
      </c>
      <c r="E36" s="6">
        <f>INPUTS!V36</f>
        <v>58.8</v>
      </c>
      <c r="F36" s="6">
        <f>INPUTS!W36</f>
        <v>30</v>
      </c>
      <c r="G36" s="33">
        <f>INPUTS!Z36</f>
        <v>13</v>
      </c>
      <c r="H36" s="33">
        <f>INPUTS!AA36</f>
        <v>0</v>
      </c>
      <c r="I36" s="33">
        <f>INPUTS!AB36</f>
        <v>3.9</v>
      </c>
      <c r="J36" s="33">
        <f>INPUTS!AC36</f>
        <v>0</v>
      </c>
      <c r="K36" s="33">
        <f>INPUTS!AD36</f>
        <v>3.9</v>
      </c>
      <c r="L36" s="33">
        <f>INPUTS!AE36</f>
        <v>0</v>
      </c>
      <c r="M36" s="33">
        <f>INPUTS!AF36</f>
        <v>1.456</v>
      </c>
      <c r="N36" s="34">
        <f>INPUTS!AG36</f>
        <v>478.07599999999996</v>
      </c>
    </row>
    <row r="37" spans="1:14" hidden="1" x14ac:dyDescent="0.25">
      <c r="A37" s="5" t="str">
        <f>INPUTS!B37</f>
        <v>Eastern Bays</v>
      </c>
      <c r="B37" s="5" t="str">
        <f>INPUTS!C37</f>
        <v>West Tamaki Rd</v>
      </c>
      <c r="C37" s="6">
        <f>INPUTS!E37</f>
        <v>0.9</v>
      </c>
      <c r="D37" s="6">
        <f>INPUTS!R37</f>
        <v>13</v>
      </c>
      <c r="E37" s="6">
        <f>INPUTS!V37</f>
        <v>33</v>
      </c>
      <c r="F37" s="6">
        <f>INPUTS!W37</f>
        <v>30</v>
      </c>
      <c r="G37" s="33">
        <f>INPUTS!Z37</f>
        <v>1.8</v>
      </c>
      <c r="H37" s="33">
        <f>INPUTS!AA37</f>
        <v>0</v>
      </c>
      <c r="I37" s="33">
        <f>INPUTS!AB37</f>
        <v>0.54</v>
      </c>
      <c r="J37" s="33">
        <f>INPUTS!AC37</f>
        <v>0</v>
      </c>
      <c r="K37" s="33">
        <f>INPUTS!AD37</f>
        <v>0.54</v>
      </c>
      <c r="L37" s="33">
        <f>INPUTS!AE37</f>
        <v>0</v>
      </c>
      <c r="M37" s="33">
        <f>INPUTS!AF37</f>
        <v>0.2016</v>
      </c>
      <c r="N37" s="34">
        <f>INPUTS!AG37</f>
        <v>481.15759999999995</v>
      </c>
    </row>
    <row r="38" spans="1:14" hidden="1" x14ac:dyDescent="0.25">
      <c r="A38" s="5" t="str">
        <f>INPUTS!B38</f>
        <v>Warkworth</v>
      </c>
      <c r="B38" s="5" t="str">
        <f>INPUTS!C38</f>
        <v>Puhoi to Mangawhai shared path</v>
      </c>
      <c r="C38" s="6">
        <f>INPUTS!E38</f>
        <v>0</v>
      </c>
      <c r="D38" s="6">
        <f>INPUTS!R38</f>
        <v>17</v>
      </c>
      <c r="E38" s="6" t="e">
        <f>INPUTS!V38</f>
        <v>#DIV/0!</v>
      </c>
      <c r="F38" s="6">
        <f>INPUTS!W38</f>
        <v>35</v>
      </c>
      <c r="G38" s="33">
        <f>INPUTS!Z38</f>
        <v>0</v>
      </c>
      <c r="H38" s="33">
        <f>INPUTS!AA38</f>
        <v>0</v>
      </c>
      <c r="I38" s="33">
        <f>INPUTS!AB38</f>
        <v>0</v>
      </c>
      <c r="J38" s="33">
        <f>INPUTS!AC38</f>
        <v>0</v>
      </c>
      <c r="K38" s="33">
        <f>INPUTS!AD38</f>
        <v>0</v>
      </c>
      <c r="L38" s="33">
        <f>INPUTS!AE38</f>
        <v>0</v>
      </c>
      <c r="M38" s="33">
        <f>INPUTS!AF38</f>
        <v>0</v>
      </c>
      <c r="N38" s="34">
        <f>INPUTS!AG38</f>
        <v>481.15759999999995</v>
      </c>
    </row>
    <row r="39" spans="1:14" hidden="1" x14ac:dyDescent="0.25">
      <c r="A39" s="5" t="str">
        <f>INPUTS!B39</f>
        <v>Westgate</v>
      </c>
      <c r="B39" s="5" t="str">
        <f>INPUTS!C39</f>
        <v>Moire Rd; Luckens Rd (west section)</v>
      </c>
      <c r="C39" s="6">
        <f>INPUTS!E39</f>
        <v>2.5</v>
      </c>
      <c r="D39" s="6">
        <f>INPUTS!R39</f>
        <v>16</v>
      </c>
      <c r="E39" s="6">
        <f>INPUTS!V39</f>
        <v>125.5</v>
      </c>
      <c r="F39" s="6">
        <f>INPUTS!W39</f>
        <v>35</v>
      </c>
      <c r="G39" s="33">
        <f>INPUTS!Z39</f>
        <v>5</v>
      </c>
      <c r="H39" s="33">
        <f>INPUTS!AA39</f>
        <v>0</v>
      </c>
      <c r="I39" s="33">
        <f>INPUTS!AB39</f>
        <v>1.5</v>
      </c>
      <c r="J39" s="33">
        <f>INPUTS!AC39</f>
        <v>0</v>
      </c>
      <c r="K39" s="33">
        <f>INPUTS!AD39</f>
        <v>1.5</v>
      </c>
      <c r="L39" s="33">
        <f>INPUTS!AE39</f>
        <v>0</v>
      </c>
      <c r="M39" s="33">
        <f>INPUTS!AF39</f>
        <v>0.56000000000000005</v>
      </c>
      <c r="N39" s="34">
        <f>INPUTS!AG39</f>
        <v>489.71759999999995</v>
      </c>
    </row>
    <row r="40" spans="1:14" hidden="1" x14ac:dyDescent="0.25">
      <c r="A40" s="5" t="str">
        <f>INPUTS!B40</f>
        <v>Westgate</v>
      </c>
      <c r="B40" s="5" t="str">
        <f>INPUTS!C40</f>
        <v>Royal Rd (existing)</v>
      </c>
      <c r="C40" s="6">
        <f>INPUTS!E40</f>
        <v>1.2</v>
      </c>
      <c r="D40" s="6">
        <f>INPUTS!R40</f>
        <v>15</v>
      </c>
      <c r="E40" s="6">
        <f>INPUTS!V40</f>
        <v>155</v>
      </c>
      <c r="F40" s="6">
        <f>INPUTS!W40</f>
        <v>35</v>
      </c>
      <c r="G40" s="33">
        <f>INPUTS!Z40</f>
        <v>2.4</v>
      </c>
      <c r="H40" s="33">
        <f>INPUTS!AA40</f>
        <v>0</v>
      </c>
      <c r="I40" s="33">
        <f>INPUTS!AB40</f>
        <v>0.72</v>
      </c>
      <c r="J40" s="33">
        <f>INPUTS!AC40</f>
        <v>0</v>
      </c>
      <c r="K40" s="33">
        <f>INPUTS!AD40</f>
        <v>0.72</v>
      </c>
      <c r="L40" s="33">
        <f>INPUTS!AE40</f>
        <v>0</v>
      </c>
      <c r="M40" s="33">
        <f>INPUTS!AF40</f>
        <v>0.26880000000000004</v>
      </c>
      <c r="N40" s="34">
        <f>INPUTS!AG40</f>
        <v>493.82639999999992</v>
      </c>
    </row>
    <row r="41" spans="1:14" hidden="1" x14ac:dyDescent="0.25">
      <c r="A41" s="5" t="str">
        <f>INPUTS!B41</f>
        <v>Mt Albert</v>
      </c>
      <c r="B41" s="5" t="str">
        <f>INPUTS!C41</f>
        <v>Mt Albert Rd</v>
      </c>
      <c r="C41" s="6">
        <f>INPUTS!E41</f>
        <v>4.5</v>
      </c>
      <c r="D41" s="6">
        <f>INPUTS!R41</f>
        <v>14</v>
      </c>
      <c r="E41" s="6">
        <f>INPUTS!V41</f>
        <v>242.12</v>
      </c>
      <c r="F41" s="6">
        <f>INPUTS!W41</f>
        <v>35</v>
      </c>
      <c r="G41" s="33">
        <f>INPUTS!Z41</f>
        <v>0</v>
      </c>
      <c r="H41" s="33">
        <f>INPUTS!AA41</f>
        <v>23</v>
      </c>
      <c r="I41" s="33">
        <f>INPUTS!AB41</f>
        <v>0</v>
      </c>
      <c r="J41" s="33">
        <f>INPUTS!AC41</f>
        <v>6.8999999999999995</v>
      </c>
      <c r="K41" s="33">
        <f>INPUTS!AD41</f>
        <v>0</v>
      </c>
      <c r="L41" s="33">
        <f>INPUTS!AE41</f>
        <v>6.8999999999999995</v>
      </c>
      <c r="M41" s="33">
        <f>INPUTS!AF41</f>
        <v>2.5760000000000001</v>
      </c>
      <c r="N41" s="34">
        <f>INPUTS!AG41</f>
        <v>533.2023999999999</v>
      </c>
    </row>
    <row r="42" spans="1:14" hidden="1" x14ac:dyDescent="0.25">
      <c r="A42" s="5" t="str">
        <f>INPUTS!B42</f>
        <v>St Mary's Bay</v>
      </c>
      <c r="B42" s="5" t="str">
        <f>INPUTS!C42</f>
        <v>West End Rd; Jervois Rd (west)</v>
      </c>
      <c r="C42" s="6">
        <f>INPUTS!E42</f>
        <v>2.7</v>
      </c>
      <c r="D42" s="6">
        <f>INPUTS!R42</f>
        <v>13</v>
      </c>
      <c r="E42" s="6">
        <f>INPUTS!V42</f>
        <v>222.60000000000002</v>
      </c>
      <c r="F42" s="6">
        <f>INPUTS!W42</f>
        <v>35</v>
      </c>
      <c r="G42" s="33">
        <f>INPUTS!Z42</f>
        <v>13.5</v>
      </c>
      <c r="H42" s="33">
        <f>INPUTS!AA42</f>
        <v>0</v>
      </c>
      <c r="I42" s="33">
        <f>INPUTS!AB42</f>
        <v>4.05</v>
      </c>
      <c r="J42" s="33">
        <f>INPUTS!AC42</f>
        <v>0</v>
      </c>
      <c r="K42" s="33">
        <f>INPUTS!AD42</f>
        <v>4.05</v>
      </c>
      <c r="L42" s="33">
        <f>INPUTS!AE42</f>
        <v>0</v>
      </c>
      <c r="M42" s="33">
        <f>INPUTS!AF42</f>
        <v>1.5120000000000002</v>
      </c>
      <c r="N42" s="34">
        <f>INPUTS!AG42</f>
        <v>556.31439999999986</v>
      </c>
    </row>
    <row r="43" spans="1:14" hidden="1" x14ac:dyDescent="0.25">
      <c r="A43" s="5" t="str">
        <f>INPUTS!B43</f>
        <v>St Mary's Bay</v>
      </c>
      <c r="B43" s="5" t="str">
        <f>INPUTS!C43</f>
        <v>Curran St; Jervois Rd (east)</v>
      </c>
      <c r="C43" s="6">
        <f>INPUTS!E43</f>
        <v>1</v>
      </c>
      <c r="D43" s="6">
        <f>INPUTS!R43</f>
        <v>14</v>
      </c>
      <c r="E43" s="6">
        <f>INPUTS!V43</f>
        <v>244.2</v>
      </c>
      <c r="F43" s="6">
        <f>INPUTS!W43</f>
        <v>35</v>
      </c>
      <c r="G43" s="33">
        <f>INPUTS!Z43</f>
        <v>5</v>
      </c>
      <c r="H43" s="33">
        <f>INPUTS!AA43</f>
        <v>0</v>
      </c>
      <c r="I43" s="33">
        <f>INPUTS!AB43</f>
        <v>1.5</v>
      </c>
      <c r="J43" s="33">
        <f>INPUTS!AC43</f>
        <v>0</v>
      </c>
      <c r="K43" s="33">
        <f>INPUTS!AD43</f>
        <v>1.5</v>
      </c>
      <c r="L43" s="33">
        <f>INPUTS!AE43</f>
        <v>0</v>
      </c>
      <c r="M43" s="33">
        <f>INPUTS!AF43</f>
        <v>0.56000000000000005</v>
      </c>
      <c r="N43" s="34">
        <f>INPUTS!AG43</f>
        <v>564.87439999999981</v>
      </c>
    </row>
    <row r="44" spans="1:14" hidden="1" x14ac:dyDescent="0.25">
      <c r="A44" s="5" t="str">
        <f>INPUTS!B44</f>
        <v>Henderson</v>
      </c>
      <c r="B44" s="5" t="str">
        <f>INPUTS!C44</f>
        <v>Edmonton Road</v>
      </c>
      <c r="C44" s="6">
        <f>INPUTS!E44</f>
        <v>1.8</v>
      </c>
      <c r="D44" s="6">
        <f>INPUTS!R44</f>
        <v>16</v>
      </c>
      <c r="E44" s="6">
        <f>INPUTS!V44</f>
        <v>86.2</v>
      </c>
      <c r="F44" s="6">
        <f>INPUTS!W44</f>
        <v>40</v>
      </c>
      <c r="G44" s="33">
        <f>INPUTS!Z44</f>
        <v>9</v>
      </c>
      <c r="H44" s="33">
        <f>INPUTS!AA44</f>
        <v>0</v>
      </c>
      <c r="I44" s="33">
        <f>INPUTS!AB44</f>
        <v>2.6999999999999997</v>
      </c>
      <c r="J44" s="33">
        <f>INPUTS!AC44</f>
        <v>0</v>
      </c>
      <c r="K44" s="33">
        <f>INPUTS!AD44</f>
        <v>2.6999999999999997</v>
      </c>
      <c r="L44" s="33">
        <f>INPUTS!AE44</f>
        <v>0</v>
      </c>
      <c r="M44" s="33">
        <f>INPUTS!AF44</f>
        <v>1.008</v>
      </c>
      <c r="N44" s="34">
        <f>INPUTS!AG44</f>
        <v>580.28239999999983</v>
      </c>
    </row>
    <row r="45" spans="1:14" hidden="1" x14ac:dyDescent="0.25">
      <c r="A45" s="5" t="str">
        <f>INPUTS!B45</f>
        <v>Newmarket</v>
      </c>
      <c r="B45" s="5" t="str">
        <f>INPUTS!C45</f>
        <v>Boston Road</v>
      </c>
      <c r="C45" s="6">
        <f>INPUTS!E45</f>
        <v>0.6</v>
      </c>
      <c r="D45" s="6">
        <f>INPUTS!R45</f>
        <v>14</v>
      </c>
      <c r="E45" s="6">
        <f>INPUTS!V45</f>
        <v>227.5</v>
      </c>
      <c r="F45" s="6">
        <f>INPUTS!W45</f>
        <v>40</v>
      </c>
      <c r="G45" s="33">
        <f>INPUTS!Z45</f>
        <v>1.2</v>
      </c>
      <c r="H45" s="33">
        <f>INPUTS!AA45</f>
        <v>0</v>
      </c>
      <c r="I45" s="33">
        <f>INPUTS!AB45</f>
        <v>0.36</v>
      </c>
      <c r="J45" s="33">
        <f>INPUTS!AC45</f>
        <v>0</v>
      </c>
      <c r="K45" s="33">
        <f>INPUTS!AD45</f>
        <v>0.36</v>
      </c>
      <c r="L45" s="33">
        <f>INPUTS!AE45</f>
        <v>0</v>
      </c>
      <c r="M45" s="33">
        <f>INPUTS!AF45</f>
        <v>0.13440000000000002</v>
      </c>
      <c r="N45" s="34">
        <f>INPUTS!AG45</f>
        <v>582.33679999999981</v>
      </c>
    </row>
    <row r="46" spans="1:14" hidden="1" x14ac:dyDescent="0.25">
      <c r="A46" s="5" t="str">
        <f>INPUTS!B46</f>
        <v>Newmarket</v>
      </c>
      <c r="B46" s="5" t="str">
        <f>INPUTS!C46</f>
        <v>Mountain Road</v>
      </c>
      <c r="C46" s="6">
        <f>INPUTS!E46</f>
        <v>1.5</v>
      </c>
      <c r="D46" s="6">
        <f>INPUTS!R46</f>
        <v>14</v>
      </c>
      <c r="E46" s="6">
        <f>INPUTS!V46</f>
        <v>373.5</v>
      </c>
      <c r="F46" s="6">
        <f>INPUTS!W46</f>
        <v>40</v>
      </c>
      <c r="G46" s="33">
        <f>INPUTS!Z46</f>
        <v>3</v>
      </c>
      <c r="H46" s="33">
        <f>INPUTS!AA46</f>
        <v>0</v>
      </c>
      <c r="I46" s="33">
        <f>INPUTS!AB46</f>
        <v>0.89999999999999991</v>
      </c>
      <c r="J46" s="33">
        <f>INPUTS!AC46</f>
        <v>0</v>
      </c>
      <c r="K46" s="33">
        <f>INPUTS!AD46</f>
        <v>0.89999999999999991</v>
      </c>
      <c r="L46" s="33">
        <f>INPUTS!AE46</f>
        <v>0</v>
      </c>
      <c r="M46" s="33">
        <f>INPUTS!AF46</f>
        <v>0.33600000000000002</v>
      </c>
      <c r="N46" s="34">
        <f>INPUTS!AG46</f>
        <v>587.47279999999978</v>
      </c>
    </row>
    <row r="47" spans="1:14" hidden="1" x14ac:dyDescent="0.25">
      <c r="A47" s="5" t="str">
        <f>INPUTS!B47</f>
        <v>East Tamaki</v>
      </c>
      <c r="B47" s="5" t="str">
        <f>INPUTS!C47</f>
        <v>Preston Rd; Reagan Rd</v>
      </c>
      <c r="C47" s="6">
        <f>INPUTS!E47</f>
        <v>2.7</v>
      </c>
      <c r="D47" s="6">
        <f>INPUTS!R47</f>
        <v>15</v>
      </c>
      <c r="E47" s="6">
        <f>INPUTS!V47</f>
        <v>232.20000000000002</v>
      </c>
      <c r="F47" s="6">
        <f>INPUTS!W47</f>
        <v>40</v>
      </c>
      <c r="G47" s="33">
        <f>INPUTS!Z47</f>
        <v>13.5</v>
      </c>
      <c r="H47" s="33">
        <f>INPUTS!AA47</f>
        <v>0</v>
      </c>
      <c r="I47" s="33">
        <f>INPUTS!AB47</f>
        <v>4.05</v>
      </c>
      <c r="J47" s="33">
        <f>INPUTS!AC47</f>
        <v>0</v>
      </c>
      <c r="K47" s="33">
        <f>INPUTS!AD47</f>
        <v>4.05</v>
      </c>
      <c r="L47" s="33">
        <f>INPUTS!AE47</f>
        <v>0</v>
      </c>
      <c r="M47" s="33">
        <f>INPUTS!AF47</f>
        <v>1.5120000000000002</v>
      </c>
      <c r="N47" s="34">
        <f>INPUTS!AG47</f>
        <v>610.58479999999975</v>
      </c>
    </row>
    <row r="48" spans="1:14" hidden="1" x14ac:dyDescent="0.25">
      <c r="A48" s="5" t="str">
        <f>INPUTS!B48</f>
        <v>Otara</v>
      </c>
      <c r="B48" s="5" t="str">
        <f>INPUTS!C48</f>
        <v>Bairds Road (north)</v>
      </c>
      <c r="C48" s="6">
        <f>INPUTS!E48</f>
        <v>1.3</v>
      </c>
      <c r="D48" s="6">
        <f>INPUTS!R48</f>
        <v>15</v>
      </c>
      <c r="E48" s="6">
        <f>INPUTS!V48</f>
        <v>224.09999999999997</v>
      </c>
      <c r="F48" s="6">
        <f>INPUTS!W48</f>
        <v>40</v>
      </c>
      <c r="G48" s="33">
        <f>INPUTS!Z48</f>
        <v>2.6</v>
      </c>
      <c r="H48" s="33">
        <f>INPUTS!AA48</f>
        <v>0</v>
      </c>
      <c r="I48" s="33">
        <f>INPUTS!AB48</f>
        <v>0.78</v>
      </c>
      <c r="J48" s="33">
        <f>INPUTS!AC48</f>
        <v>0</v>
      </c>
      <c r="K48" s="33">
        <f>INPUTS!AD48</f>
        <v>0.78</v>
      </c>
      <c r="L48" s="33">
        <f>INPUTS!AE48</f>
        <v>0</v>
      </c>
      <c r="M48" s="33">
        <f>INPUTS!AF48</f>
        <v>0.29120000000000001</v>
      </c>
      <c r="N48" s="34">
        <f>INPUTS!AG48</f>
        <v>615.03599999999972</v>
      </c>
    </row>
    <row r="49" spans="1:14" hidden="1" x14ac:dyDescent="0.25">
      <c r="A49" s="5" t="str">
        <f>INPUTS!B49</f>
        <v>Otara</v>
      </c>
      <c r="B49" s="5" t="str">
        <f>INPUTS!C49</f>
        <v>Bairds Road (south)</v>
      </c>
      <c r="C49" s="6">
        <f>INPUTS!E49</f>
        <v>1.7</v>
      </c>
      <c r="D49" s="6">
        <f>INPUTS!R49</f>
        <v>18</v>
      </c>
      <c r="E49" s="6">
        <f>INPUTS!V49</f>
        <v>33.6</v>
      </c>
      <c r="F49" s="6">
        <f>INPUTS!W49</f>
        <v>40</v>
      </c>
      <c r="G49" s="33">
        <f>INPUTS!Z49</f>
        <v>3.4</v>
      </c>
      <c r="H49" s="33">
        <f>INPUTS!AA49</f>
        <v>10</v>
      </c>
      <c r="I49" s="33">
        <f>INPUTS!AB49</f>
        <v>1.02</v>
      </c>
      <c r="J49" s="33">
        <f>INPUTS!AC49</f>
        <v>3</v>
      </c>
      <c r="K49" s="33">
        <f>INPUTS!AD49</f>
        <v>1.02</v>
      </c>
      <c r="L49" s="33">
        <f>INPUTS!AE49</f>
        <v>3</v>
      </c>
      <c r="M49" s="33">
        <f>INPUTS!AF49</f>
        <v>1.5008000000000001</v>
      </c>
      <c r="N49" s="34">
        <f>INPUTS!AG49</f>
        <v>637.97679999999968</v>
      </c>
    </row>
    <row r="50" spans="1:14" hidden="1" x14ac:dyDescent="0.25">
      <c r="A50" s="5" t="str">
        <f>INPUTS!B50</f>
        <v>Otara</v>
      </c>
      <c r="B50" s="5" t="str">
        <f>INPUTS!C50</f>
        <v>East Tamaki Rd (west and east)</v>
      </c>
      <c r="C50" s="6">
        <f>INPUTS!E50</f>
        <v>2</v>
      </c>
      <c r="D50" s="6">
        <f>INPUTS!R50</f>
        <v>16</v>
      </c>
      <c r="E50" s="6">
        <f>INPUTS!V50</f>
        <v>75.72</v>
      </c>
      <c r="F50" s="6">
        <f>INPUTS!W50</f>
        <v>40</v>
      </c>
      <c r="G50" s="33">
        <f>INPUTS!Z50</f>
        <v>0</v>
      </c>
      <c r="H50" s="33">
        <f>INPUTS!AA50</f>
        <v>20</v>
      </c>
      <c r="I50" s="33">
        <f>INPUTS!AB50</f>
        <v>0</v>
      </c>
      <c r="J50" s="33">
        <f>INPUTS!AC50</f>
        <v>6</v>
      </c>
      <c r="K50" s="33">
        <f>INPUTS!AD50</f>
        <v>0</v>
      </c>
      <c r="L50" s="33">
        <f>INPUTS!AE50</f>
        <v>6</v>
      </c>
      <c r="M50" s="33">
        <f>INPUTS!AF50</f>
        <v>2.2400000000000002</v>
      </c>
      <c r="N50" s="34">
        <f>INPUTS!AG50</f>
        <v>672.21679999999969</v>
      </c>
    </row>
    <row r="51" spans="1:14" hidden="1" x14ac:dyDescent="0.25">
      <c r="A51" s="5" t="str">
        <f>INPUTS!B51</f>
        <v>Otara</v>
      </c>
      <c r="B51" s="5" t="str">
        <f>INPUTS!C51</f>
        <v>Flat Bush Road (east); Dawson Rd</v>
      </c>
      <c r="C51" s="6">
        <f>INPUTS!E51</f>
        <v>1.2</v>
      </c>
      <c r="D51" s="6">
        <f>INPUTS!R51</f>
        <v>15</v>
      </c>
      <c r="E51" s="6">
        <f>INPUTS!V51</f>
        <v>121.1</v>
      </c>
      <c r="F51" s="6">
        <f>INPUTS!W51</f>
        <v>40</v>
      </c>
      <c r="G51" s="33">
        <f>INPUTS!Z51</f>
        <v>2.4</v>
      </c>
      <c r="H51" s="33">
        <f>INPUTS!AA51</f>
        <v>0</v>
      </c>
      <c r="I51" s="33">
        <f>INPUTS!AB51</f>
        <v>0.72</v>
      </c>
      <c r="J51" s="33">
        <f>INPUTS!AC51</f>
        <v>0</v>
      </c>
      <c r="K51" s="33">
        <f>INPUTS!AD51</f>
        <v>0.72</v>
      </c>
      <c r="L51" s="33">
        <f>INPUTS!AE51</f>
        <v>0</v>
      </c>
      <c r="M51" s="33">
        <f>INPUTS!AF51</f>
        <v>0.26880000000000004</v>
      </c>
      <c r="N51" s="34">
        <f>INPUTS!AG51</f>
        <v>676.32559999999967</v>
      </c>
    </row>
    <row r="52" spans="1:14" hidden="1" x14ac:dyDescent="0.25">
      <c r="A52" s="5" t="str">
        <f>INPUTS!B52</f>
        <v>Onehunga</v>
      </c>
      <c r="B52" s="5" t="str">
        <f>INPUTS!C52</f>
        <v>Mt Smart Rd (east of Onehunga Mall Rd); Station Rd</v>
      </c>
      <c r="C52" s="6">
        <f>INPUTS!E52</f>
        <v>3.5</v>
      </c>
      <c r="D52" s="6">
        <f>INPUTS!R52</f>
        <v>11</v>
      </c>
      <c r="E52" s="6">
        <f>INPUTS!V52</f>
        <v>253.8</v>
      </c>
      <c r="F52" s="6">
        <f>INPUTS!W52</f>
        <v>45</v>
      </c>
      <c r="G52" s="33">
        <f>INPUTS!Z52</f>
        <v>0</v>
      </c>
      <c r="H52" s="33">
        <f>INPUTS!AA52</f>
        <v>18</v>
      </c>
      <c r="I52" s="33">
        <f>INPUTS!AB52</f>
        <v>0</v>
      </c>
      <c r="J52" s="33">
        <f>INPUTS!AC52</f>
        <v>5.3999999999999995</v>
      </c>
      <c r="K52" s="33">
        <f>INPUTS!AD52</f>
        <v>0</v>
      </c>
      <c r="L52" s="33">
        <f>INPUTS!AE52</f>
        <v>5.3999999999999995</v>
      </c>
      <c r="M52" s="33">
        <f>INPUTS!AF52</f>
        <v>2.016</v>
      </c>
      <c r="N52" s="34">
        <f>INPUTS!AG52</f>
        <v>707.1415999999997</v>
      </c>
    </row>
    <row r="53" spans="1:14" hidden="1" x14ac:dyDescent="0.25">
      <c r="A53" s="5" t="str">
        <f>INPUTS!B53</f>
        <v>Māngere</v>
      </c>
      <c r="B53" s="5" t="str">
        <f>INPUTS!C53</f>
        <v>Mahunga Dr</v>
      </c>
      <c r="C53" s="6">
        <f>INPUTS!E53</f>
        <v>1.3</v>
      </c>
      <c r="D53" s="6">
        <f>INPUTS!R53</f>
        <v>11</v>
      </c>
      <c r="E53" s="6">
        <f>INPUTS!V53</f>
        <v>193.82</v>
      </c>
      <c r="F53" s="6">
        <f>INPUTS!W53</f>
        <v>45</v>
      </c>
      <c r="G53" s="33">
        <f>INPUTS!Z53</f>
        <v>2.6</v>
      </c>
      <c r="H53" s="33">
        <f>INPUTS!AA53</f>
        <v>0</v>
      </c>
      <c r="I53" s="33">
        <f>INPUTS!AB53</f>
        <v>0.78</v>
      </c>
      <c r="J53" s="33">
        <f>INPUTS!AC53</f>
        <v>0</v>
      </c>
      <c r="K53" s="33">
        <f>INPUTS!AD53</f>
        <v>0.78</v>
      </c>
      <c r="L53" s="33">
        <f>INPUTS!AE53</f>
        <v>0</v>
      </c>
      <c r="M53" s="33">
        <f>INPUTS!AF53</f>
        <v>0.29120000000000001</v>
      </c>
      <c r="N53" s="34">
        <f>INPUTS!AG53</f>
        <v>711.59279999999967</v>
      </c>
    </row>
    <row r="54" spans="1:14" x14ac:dyDescent="0.25">
      <c r="A54" s="5" t="str">
        <f>INPUTS!B54</f>
        <v xml:space="preserve">Manukau </v>
      </c>
      <c r="B54" s="5" t="str">
        <f>INPUTS!C54</f>
        <v>Wylie Road</v>
      </c>
      <c r="C54" s="6">
        <f>INPUTS!E54</f>
        <v>1.4</v>
      </c>
      <c r="D54" s="6">
        <f>INPUTS!R54</f>
        <v>16</v>
      </c>
      <c r="E54" s="6">
        <f>INPUTS!V54</f>
        <v>186.1</v>
      </c>
      <c r="F54" s="6">
        <f>INPUTS!W54</f>
        <v>45</v>
      </c>
      <c r="G54" s="33">
        <f>INPUTS!Z54</f>
        <v>2.8</v>
      </c>
      <c r="H54" s="33">
        <f>INPUTS!AA54</f>
        <v>0</v>
      </c>
      <c r="I54" s="33">
        <f>INPUTS!AB54</f>
        <v>0.84</v>
      </c>
      <c r="J54" s="33">
        <f>INPUTS!AC54</f>
        <v>0</v>
      </c>
      <c r="K54" s="33">
        <f>INPUTS!AD54</f>
        <v>0.84</v>
      </c>
      <c r="L54" s="33">
        <f>INPUTS!AE54</f>
        <v>0</v>
      </c>
      <c r="M54" s="33">
        <f>INPUTS!AF54</f>
        <v>0.31359999999999999</v>
      </c>
      <c r="N54" s="34">
        <f>INPUTS!AG54</f>
        <v>716.38639999999964</v>
      </c>
    </row>
    <row r="55" spans="1:14" hidden="1" x14ac:dyDescent="0.25">
      <c r="A55" s="5" t="str">
        <f>INPUTS!B55</f>
        <v>Parnell</v>
      </c>
      <c r="B55" s="5" t="str">
        <f>INPUTS!C55</f>
        <v>Brighton Rd</v>
      </c>
      <c r="C55" s="6">
        <f>INPUTS!E55</f>
        <v>1</v>
      </c>
      <c r="D55" s="6">
        <f>INPUTS!R55</f>
        <v>12</v>
      </c>
      <c r="E55" s="6">
        <f>INPUTS!V55</f>
        <v>229</v>
      </c>
      <c r="F55" s="6">
        <f>INPUTS!W55</f>
        <v>50</v>
      </c>
      <c r="G55" s="33">
        <f>INPUTS!Z55</f>
        <v>2</v>
      </c>
      <c r="H55" s="33">
        <f>INPUTS!AA55</f>
        <v>0</v>
      </c>
      <c r="I55" s="33">
        <f>INPUTS!AB55</f>
        <v>0.6</v>
      </c>
      <c r="J55" s="33">
        <f>INPUTS!AC55</f>
        <v>0</v>
      </c>
      <c r="K55" s="33">
        <f>INPUTS!AD55</f>
        <v>0.6</v>
      </c>
      <c r="L55" s="33">
        <f>INPUTS!AE55</f>
        <v>0</v>
      </c>
      <c r="M55" s="33">
        <f>INPUTS!AF55</f>
        <v>0.22400000000000003</v>
      </c>
      <c r="N55" s="34">
        <f>INPUTS!AG55</f>
        <v>719.81039999999962</v>
      </c>
    </row>
    <row r="56" spans="1:14" hidden="1" x14ac:dyDescent="0.25">
      <c r="A56" s="5" t="str">
        <f>INPUTS!B56</f>
        <v>Parnell</v>
      </c>
      <c r="B56" s="5" t="str">
        <f>INPUTS!C56</f>
        <v>Shore Rd</v>
      </c>
      <c r="C56" s="6">
        <f>INPUTS!E56</f>
        <v>2</v>
      </c>
      <c r="D56" s="6">
        <f>INPUTS!R56</f>
        <v>16</v>
      </c>
      <c r="E56" s="6">
        <f>INPUTS!V56</f>
        <v>374.5</v>
      </c>
      <c r="F56" s="6">
        <f>INPUTS!W56</f>
        <v>50</v>
      </c>
      <c r="G56" s="33">
        <f>INPUTS!Z56</f>
        <v>4</v>
      </c>
      <c r="H56" s="33">
        <f>INPUTS!AA56</f>
        <v>0</v>
      </c>
      <c r="I56" s="33">
        <f>INPUTS!AB56</f>
        <v>1.2</v>
      </c>
      <c r="J56" s="33">
        <f>INPUTS!AC56</f>
        <v>0</v>
      </c>
      <c r="K56" s="33">
        <f>INPUTS!AD56</f>
        <v>1.2</v>
      </c>
      <c r="L56" s="33">
        <f>INPUTS!AE56</f>
        <v>0</v>
      </c>
      <c r="M56" s="33">
        <f>INPUTS!AF56</f>
        <v>0.44800000000000006</v>
      </c>
      <c r="N56" s="34">
        <f>INPUTS!AG56</f>
        <v>726.65839999999957</v>
      </c>
    </row>
    <row r="57" spans="1:14" hidden="1" x14ac:dyDescent="0.25">
      <c r="A57" s="5" t="str">
        <f>INPUTS!B57</f>
        <v>Greenlane</v>
      </c>
      <c r="B57" s="5" t="str">
        <f>INPUTS!C57</f>
        <v>Campbell Road</v>
      </c>
      <c r="C57" s="6">
        <f>INPUTS!E57</f>
        <v>3</v>
      </c>
      <c r="D57" s="6">
        <f>INPUTS!R57</f>
        <v>13</v>
      </c>
      <c r="E57" s="6">
        <f>INPUTS!V57</f>
        <v>128.4</v>
      </c>
      <c r="F57" s="6">
        <f>INPUTS!W57</f>
        <v>50</v>
      </c>
      <c r="G57" s="33">
        <f>INPUTS!Z57</f>
        <v>15</v>
      </c>
      <c r="H57" s="33">
        <f>INPUTS!AA57</f>
        <v>0</v>
      </c>
      <c r="I57" s="33">
        <f>INPUTS!AB57</f>
        <v>4.5</v>
      </c>
      <c r="J57" s="33">
        <f>INPUTS!AC57</f>
        <v>0</v>
      </c>
      <c r="K57" s="33">
        <f>INPUTS!AD57</f>
        <v>4.5</v>
      </c>
      <c r="L57" s="33">
        <f>INPUTS!AE57</f>
        <v>0</v>
      </c>
      <c r="M57" s="33">
        <f>INPUTS!AF57</f>
        <v>1.6800000000000002</v>
      </c>
      <c r="N57" s="34">
        <f>INPUTS!AG57</f>
        <v>752.33839999999952</v>
      </c>
    </row>
    <row r="58" spans="1:14" hidden="1" x14ac:dyDescent="0.25">
      <c r="A58" s="5" t="str">
        <f>INPUTS!B58</f>
        <v>Papakura</v>
      </c>
      <c r="B58" s="5" t="str">
        <f>INPUTS!C58</f>
        <v>Walters Rd</v>
      </c>
      <c r="C58" s="6">
        <f>INPUTS!E58</f>
        <v>2.2999999999999998</v>
      </c>
      <c r="D58" s="6">
        <f>INPUTS!R58</f>
        <v>13</v>
      </c>
      <c r="E58" s="6">
        <f>INPUTS!V58</f>
        <v>121.67500000000001</v>
      </c>
      <c r="F58" s="6">
        <f>INPUTS!W58</f>
        <v>50</v>
      </c>
      <c r="G58" s="33">
        <f>INPUTS!Z58</f>
        <v>4.5999999999999996</v>
      </c>
      <c r="H58" s="33">
        <f>INPUTS!AA58</f>
        <v>0</v>
      </c>
      <c r="I58" s="33">
        <f>INPUTS!AB58</f>
        <v>1.38</v>
      </c>
      <c r="J58" s="33">
        <f>INPUTS!AC58</f>
        <v>0</v>
      </c>
      <c r="K58" s="33">
        <f>INPUTS!AD58</f>
        <v>1.38</v>
      </c>
      <c r="L58" s="33">
        <f>INPUTS!AE58</f>
        <v>0</v>
      </c>
      <c r="M58" s="33">
        <f>INPUTS!AF58</f>
        <v>0.51519999999999999</v>
      </c>
      <c r="N58" s="34">
        <f>INPUTS!AG58</f>
        <v>760.21359999999947</v>
      </c>
    </row>
    <row r="59" spans="1:14" hidden="1" x14ac:dyDescent="0.25">
      <c r="A59" s="5" t="str">
        <f>INPUTS!B59</f>
        <v>Papakura</v>
      </c>
      <c r="B59" s="5" t="str">
        <f>INPUTS!C59</f>
        <v>Porchester Road; Ingram Street; Prictor Street</v>
      </c>
      <c r="C59" s="6">
        <f>INPUTS!E59</f>
        <v>2.2000000000000002</v>
      </c>
      <c r="D59" s="6">
        <f>INPUTS!R59</f>
        <v>14</v>
      </c>
      <c r="E59" s="6">
        <f>INPUTS!V59</f>
        <v>135.17500000000001</v>
      </c>
      <c r="F59" s="6">
        <f>INPUTS!W59</f>
        <v>50</v>
      </c>
      <c r="G59" s="33">
        <f>INPUTS!Z59</f>
        <v>4.4000000000000004</v>
      </c>
      <c r="H59" s="33">
        <f>INPUTS!AA59</f>
        <v>0</v>
      </c>
      <c r="I59" s="33">
        <f>INPUTS!AB59</f>
        <v>1.32</v>
      </c>
      <c r="J59" s="33">
        <f>INPUTS!AC59</f>
        <v>0</v>
      </c>
      <c r="K59" s="33">
        <f>INPUTS!AD59</f>
        <v>1.32</v>
      </c>
      <c r="L59" s="33">
        <f>INPUTS!AE59</f>
        <v>0</v>
      </c>
      <c r="M59" s="33">
        <f>INPUTS!AF59</f>
        <v>0.49280000000000013</v>
      </c>
      <c r="N59" s="34">
        <f>INPUTS!AG59</f>
        <v>767.74639999999943</v>
      </c>
    </row>
    <row r="60" spans="1:14" hidden="1" x14ac:dyDescent="0.25">
      <c r="A60" s="5" t="str">
        <f>INPUTS!B60</f>
        <v>Papakura</v>
      </c>
      <c r="B60" s="5" t="str">
        <f>INPUTS!C60</f>
        <v>Broadway; Clevedon Road (west of Marne Rd)</v>
      </c>
      <c r="C60" s="6">
        <f>INPUTS!E60</f>
        <v>0.5</v>
      </c>
      <c r="D60" s="6">
        <f>INPUTS!R60</f>
        <v>14</v>
      </c>
      <c r="E60" s="6">
        <f>INPUTS!V60</f>
        <v>103.67500000000001</v>
      </c>
      <c r="F60" s="6">
        <f>INPUTS!W60</f>
        <v>50</v>
      </c>
      <c r="G60" s="33">
        <f>INPUTS!Z60</f>
        <v>1</v>
      </c>
      <c r="H60" s="33">
        <f>INPUTS!AA60</f>
        <v>22</v>
      </c>
      <c r="I60" s="33">
        <f>INPUTS!AB60</f>
        <v>0.3</v>
      </c>
      <c r="J60" s="33">
        <f>INPUTS!AC60</f>
        <v>6.6</v>
      </c>
      <c r="K60" s="33">
        <f>INPUTS!AD60</f>
        <v>0.3</v>
      </c>
      <c r="L60" s="33">
        <f>INPUTS!AE60</f>
        <v>6.6</v>
      </c>
      <c r="M60" s="33">
        <f>INPUTS!AF60</f>
        <v>2.5760000000000001</v>
      </c>
      <c r="N60" s="34">
        <f>INPUTS!AG60</f>
        <v>807.1223999999994</v>
      </c>
    </row>
    <row r="61" spans="1:14" hidden="1" x14ac:dyDescent="0.25">
      <c r="A61" s="5" t="str">
        <f>INPUTS!B61</f>
        <v>Papakura</v>
      </c>
      <c r="B61" s="5" t="str">
        <f>INPUTS!C61</f>
        <v>Clevedon Rd (east of Marne Rd)</v>
      </c>
      <c r="C61" s="6">
        <f>INPUTS!E61</f>
        <v>2</v>
      </c>
      <c r="D61" s="6">
        <f>INPUTS!R61</f>
        <v>13</v>
      </c>
      <c r="E61" s="6">
        <f>INPUTS!V61</f>
        <v>118.17500000000001</v>
      </c>
      <c r="F61" s="6">
        <f>INPUTS!W61</f>
        <v>50</v>
      </c>
      <c r="G61" s="33">
        <f>INPUTS!Z61</f>
        <v>4</v>
      </c>
      <c r="H61" s="33">
        <f>INPUTS!AA61</f>
        <v>0</v>
      </c>
      <c r="I61" s="33">
        <f>INPUTS!AB61</f>
        <v>1.2</v>
      </c>
      <c r="J61" s="33">
        <f>INPUTS!AC61</f>
        <v>0</v>
      </c>
      <c r="K61" s="33">
        <f>INPUTS!AD61</f>
        <v>1.2</v>
      </c>
      <c r="L61" s="33">
        <f>INPUTS!AE61</f>
        <v>0</v>
      </c>
      <c r="M61" s="33">
        <f>INPUTS!AF61</f>
        <v>0.44800000000000006</v>
      </c>
      <c r="N61" s="34">
        <f>INPUTS!AG61</f>
        <v>813.97039999999936</v>
      </c>
    </row>
    <row r="62" spans="1:14" hidden="1" x14ac:dyDescent="0.25">
      <c r="A62" s="5" t="str">
        <f>INPUTS!B62</f>
        <v>Papakura</v>
      </c>
      <c r="B62" s="5" t="str">
        <f>INPUTS!C62</f>
        <v>Marne Rd; Onslow Road; Settlement Road</v>
      </c>
      <c r="C62" s="6">
        <f>INPUTS!E62</f>
        <v>1.2</v>
      </c>
      <c r="D62" s="6">
        <f>INPUTS!R62</f>
        <v>13</v>
      </c>
      <c r="E62" s="6">
        <f>INPUTS!V62</f>
        <v>95.175000000000011</v>
      </c>
      <c r="F62" s="6">
        <f>INPUTS!W62</f>
        <v>50</v>
      </c>
      <c r="G62" s="33">
        <f>INPUTS!Z62</f>
        <v>2.4</v>
      </c>
      <c r="H62" s="33">
        <f>INPUTS!AA62</f>
        <v>0</v>
      </c>
      <c r="I62" s="33">
        <f>INPUTS!AB62</f>
        <v>0.72</v>
      </c>
      <c r="J62" s="33">
        <f>INPUTS!AC62</f>
        <v>0</v>
      </c>
      <c r="K62" s="33">
        <f>INPUTS!AD62</f>
        <v>0.72</v>
      </c>
      <c r="L62" s="33">
        <f>INPUTS!AE62</f>
        <v>0</v>
      </c>
      <c r="M62" s="33">
        <f>INPUTS!AF62</f>
        <v>0.26880000000000004</v>
      </c>
      <c r="N62" s="34">
        <f>INPUTS!AG62</f>
        <v>818.07919999999933</v>
      </c>
    </row>
    <row r="63" spans="1:14" hidden="1" x14ac:dyDescent="0.25">
      <c r="A63" s="5" t="str">
        <f>INPUTS!B63</f>
        <v>Papakura</v>
      </c>
      <c r="B63" s="5" t="str">
        <f>INPUTS!C63</f>
        <v>Beach Road and GSR connection north</v>
      </c>
      <c r="C63" s="6">
        <f>INPUTS!E63</f>
        <v>2</v>
      </c>
      <c r="D63" s="6">
        <f>INPUTS!R63</f>
        <v>14</v>
      </c>
      <c r="E63" s="6">
        <f>INPUTS!V63</f>
        <v>37.470000000000006</v>
      </c>
      <c r="F63" s="6">
        <f>INPUTS!W63</f>
        <v>50</v>
      </c>
      <c r="G63" s="33">
        <f>INPUTS!Z63</f>
        <v>10</v>
      </c>
      <c r="H63" s="33">
        <f>INPUTS!AA63</f>
        <v>0</v>
      </c>
      <c r="I63" s="33">
        <f>INPUTS!AB63</f>
        <v>3</v>
      </c>
      <c r="J63" s="33">
        <f>INPUTS!AC63</f>
        <v>0</v>
      </c>
      <c r="K63" s="33">
        <f>INPUTS!AD63</f>
        <v>3</v>
      </c>
      <c r="L63" s="33">
        <f>INPUTS!AE63</f>
        <v>0</v>
      </c>
      <c r="M63" s="33">
        <f>INPUTS!AF63</f>
        <v>1.1200000000000001</v>
      </c>
      <c r="N63" s="34">
        <f>INPUTS!AG63</f>
        <v>835.19919999999934</v>
      </c>
    </row>
    <row r="64" spans="1:14" hidden="1" x14ac:dyDescent="0.25">
      <c r="A64" s="5" t="str">
        <f>INPUTS!B64</f>
        <v>Te Atatu Peninsula</v>
      </c>
      <c r="B64" s="5" t="str">
        <f>INPUTS!C64</f>
        <v>Te Atatu Rd</v>
      </c>
      <c r="C64" s="6">
        <f>INPUTS!E64</f>
        <v>2</v>
      </c>
      <c r="D64" s="6">
        <f>INPUTS!R64</f>
        <v>15</v>
      </c>
      <c r="E64" s="6">
        <f>INPUTS!V64</f>
        <v>99.5</v>
      </c>
      <c r="F64" s="6">
        <f>INPUTS!W64</f>
        <v>60</v>
      </c>
      <c r="G64" s="33">
        <f>INPUTS!Z64</f>
        <v>4</v>
      </c>
      <c r="H64" s="33">
        <f>INPUTS!AA64</f>
        <v>0</v>
      </c>
      <c r="I64" s="33">
        <f>INPUTS!AB64</f>
        <v>1.2</v>
      </c>
      <c r="J64" s="33">
        <f>INPUTS!AC64</f>
        <v>0</v>
      </c>
      <c r="K64" s="33">
        <f>INPUTS!AD64</f>
        <v>1.2</v>
      </c>
      <c r="L64" s="33">
        <f>INPUTS!AE64</f>
        <v>0</v>
      </c>
      <c r="M64" s="33">
        <f>INPUTS!AF64</f>
        <v>0.44800000000000006</v>
      </c>
      <c r="N64" s="34">
        <f>INPUTS!AG64</f>
        <v>842.04719999999929</v>
      </c>
    </row>
    <row r="65" spans="1:14" hidden="1" x14ac:dyDescent="0.25">
      <c r="A65" s="5" t="str">
        <f>INPUTS!B65</f>
        <v>Henderson</v>
      </c>
      <c r="B65" s="5" t="str">
        <f>INPUTS!C65</f>
        <v>Lincoln Rd</v>
      </c>
      <c r="C65" s="6">
        <f>INPUTS!E65</f>
        <v>1.5</v>
      </c>
      <c r="D65" s="6">
        <f>INPUTS!R65</f>
        <v>14</v>
      </c>
      <c r="E65" s="6">
        <f>INPUTS!V65</f>
        <v>45.2</v>
      </c>
      <c r="F65" s="6">
        <f>INPUTS!W65</f>
        <v>60</v>
      </c>
      <c r="G65" s="33">
        <f>INPUTS!Z65</f>
        <v>15</v>
      </c>
      <c r="H65" s="33">
        <f>INPUTS!AA65</f>
        <v>0</v>
      </c>
      <c r="I65" s="33">
        <f>INPUTS!AB65</f>
        <v>4.5</v>
      </c>
      <c r="J65" s="33">
        <f>INPUTS!AC65</f>
        <v>0</v>
      </c>
      <c r="K65" s="33">
        <f>INPUTS!AD65</f>
        <v>4.5</v>
      </c>
      <c r="L65" s="33">
        <f>INPUTS!AE65</f>
        <v>0</v>
      </c>
      <c r="M65" s="33">
        <f>INPUTS!AF65</f>
        <v>1.6800000000000002</v>
      </c>
      <c r="N65" s="34">
        <f>INPUTS!AG65</f>
        <v>867.72719999999924</v>
      </c>
    </row>
    <row r="66" spans="1:14" hidden="1" x14ac:dyDescent="0.25">
      <c r="A66" s="5" t="str">
        <f>INPUTS!B66</f>
        <v>Henderson</v>
      </c>
      <c r="B66" s="5" t="str">
        <f>INPUTS!C66</f>
        <v>Te Atatu Rd (south)</v>
      </c>
      <c r="C66" s="6">
        <f>INPUTS!E66</f>
        <v>2.4</v>
      </c>
      <c r="D66" s="6">
        <f>INPUTS!R66</f>
        <v>15</v>
      </c>
      <c r="E66" s="6">
        <f>INPUTS!V66</f>
        <v>40</v>
      </c>
      <c r="F66" s="6">
        <f>INPUTS!W66</f>
        <v>60</v>
      </c>
      <c r="G66" s="33">
        <f>INPUTS!Z66</f>
        <v>12</v>
      </c>
      <c r="H66" s="33">
        <f>INPUTS!AA66</f>
        <v>0</v>
      </c>
      <c r="I66" s="33">
        <f>INPUTS!AB66</f>
        <v>3.5999999999999996</v>
      </c>
      <c r="J66" s="33">
        <f>INPUTS!AC66</f>
        <v>0</v>
      </c>
      <c r="K66" s="33">
        <f>INPUTS!AD66</f>
        <v>3.5999999999999996</v>
      </c>
      <c r="L66" s="33">
        <f>INPUTS!AE66</f>
        <v>0</v>
      </c>
      <c r="M66" s="33">
        <f>INPUTS!AF66</f>
        <v>1.3440000000000001</v>
      </c>
      <c r="N66" s="34">
        <f>INPUTS!AG66</f>
        <v>888.27119999999923</v>
      </c>
    </row>
    <row r="67" spans="1:14" hidden="1" x14ac:dyDescent="0.25">
      <c r="A67" s="5" t="str">
        <f>INPUTS!B67</f>
        <v>Onehunga</v>
      </c>
      <c r="B67" s="5" t="str">
        <f>INPUTS!C67</f>
        <v>Church St</v>
      </c>
      <c r="C67" s="6">
        <f>INPUTS!E67</f>
        <v>5</v>
      </c>
      <c r="D67" s="6">
        <f>INPUTS!R67</f>
        <v>13</v>
      </c>
      <c r="E67" s="6">
        <f>INPUTS!V67</f>
        <v>128.80000000000001</v>
      </c>
      <c r="F67" s="6">
        <f>INPUTS!W67</f>
        <v>60</v>
      </c>
      <c r="G67" s="33">
        <f>INPUTS!Z67</f>
        <v>0</v>
      </c>
      <c r="H67" s="33">
        <f>INPUTS!AA67</f>
        <v>25</v>
      </c>
      <c r="I67" s="33">
        <f>INPUTS!AB67</f>
        <v>0</v>
      </c>
      <c r="J67" s="33">
        <f>INPUTS!AC67</f>
        <v>7.5</v>
      </c>
      <c r="K67" s="33">
        <f>INPUTS!AD67</f>
        <v>0</v>
      </c>
      <c r="L67" s="33">
        <f>INPUTS!AE67</f>
        <v>7.5</v>
      </c>
      <c r="M67" s="33">
        <f>INPUTS!AF67</f>
        <v>2.8000000000000003</v>
      </c>
      <c r="N67" s="34">
        <f>INPUTS!AG67</f>
        <v>931.07119999999918</v>
      </c>
    </row>
    <row r="68" spans="1:14" hidden="1" x14ac:dyDescent="0.25">
      <c r="A68" s="5" t="str">
        <f>INPUTS!B68</f>
        <v>Panmure</v>
      </c>
      <c r="B68" s="5" t="str">
        <f>INPUTS!C68</f>
        <v>Morrin Road</v>
      </c>
      <c r="C68" s="6">
        <f>INPUTS!E68</f>
        <v>0.8</v>
      </c>
      <c r="D68" s="6">
        <f>INPUTS!R68</f>
        <v>14</v>
      </c>
      <c r="E68" s="6">
        <f>INPUTS!V68</f>
        <v>153.15</v>
      </c>
      <c r="F68" s="6">
        <f>INPUTS!W68</f>
        <v>60</v>
      </c>
      <c r="G68" s="33">
        <f>INPUTS!Z68</f>
        <v>1.6</v>
      </c>
      <c r="H68" s="33">
        <f>INPUTS!AA68</f>
        <v>0</v>
      </c>
      <c r="I68" s="33">
        <f>INPUTS!AB68</f>
        <v>0.48</v>
      </c>
      <c r="J68" s="33">
        <f>INPUTS!AC68</f>
        <v>0</v>
      </c>
      <c r="K68" s="33">
        <f>INPUTS!AD68</f>
        <v>0.48</v>
      </c>
      <c r="L68" s="33">
        <f>INPUTS!AE68</f>
        <v>0</v>
      </c>
      <c r="M68" s="33">
        <f>INPUTS!AF68</f>
        <v>0.17920000000000003</v>
      </c>
      <c r="N68" s="34">
        <f>INPUTS!AG68</f>
        <v>933.81039999999916</v>
      </c>
    </row>
    <row r="69" spans="1:14" hidden="1" x14ac:dyDescent="0.25">
      <c r="A69" s="5" t="str">
        <f>INPUTS!B69</f>
        <v>Panmure</v>
      </c>
      <c r="B69" s="5" t="str">
        <f>INPUTS!C69</f>
        <v>Hobson Drive; Jellicoe Rd</v>
      </c>
      <c r="C69" s="6">
        <f>INPUTS!E69</f>
        <v>1</v>
      </c>
      <c r="D69" s="6">
        <f>INPUTS!R69</f>
        <v>12</v>
      </c>
      <c r="E69" s="6">
        <f>INPUTS!V69</f>
        <v>156.15</v>
      </c>
      <c r="F69" s="6">
        <f>INPUTS!W69</f>
        <v>60</v>
      </c>
      <c r="G69" s="33">
        <f>INPUTS!Z69</f>
        <v>2</v>
      </c>
      <c r="H69" s="33">
        <f>INPUTS!AA69</f>
        <v>0</v>
      </c>
      <c r="I69" s="33">
        <f>INPUTS!AB69</f>
        <v>0.6</v>
      </c>
      <c r="J69" s="33">
        <f>INPUTS!AC69</f>
        <v>0</v>
      </c>
      <c r="K69" s="33">
        <f>INPUTS!AD69</f>
        <v>0.6</v>
      </c>
      <c r="L69" s="33">
        <f>INPUTS!AE69</f>
        <v>0</v>
      </c>
      <c r="M69" s="33">
        <f>INPUTS!AF69</f>
        <v>0.22400000000000003</v>
      </c>
      <c r="N69" s="34">
        <f>INPUTS!AG69</f>
        <v>937.23439999999914</v>
      </c>
    </row>
    <row r="70" spans="1:14" hidden="1" x14ac:dyDescent="0.25">
      <c r="A70" s="5" t="str">
        <f>INPUTS!B70</f>
        <v>East Tamaki</v>
      </c>
      <c r="B70" s="5" t="str">
        <f>INPUTS!C70</f>
        <v>Harris Rd; Springs Rd</v>
      </c>
      <c r="C70" s="6">
        <f>INPUTS!E70</f>
        <v>3.8</v>
      </c>
      <c r="D70" s="6">
        <f>INPUTS!R70</f>
        <v>15</v>
      </c>
      <c r="E70" s="6">
        <f>INPUTS!V70</f>
        <v>232.20000000000002</v>
      </c>
      <c r="F70" s="6">
        <f>INPUTS!W70</f>
        <v>60</v>
      </c>
      <c r="G70" s="33">
        <f>INPUTS!Z70</f>
        <v>0</v>
      </c>
      <c r="H70" s="33">
        <f>INPUTS!AA70</f>
        <v>19</v>
      </c>
      <c r="I70" s="33">
        <f>INPUTS!AB70</f>
        <v>0</v>
      </c>
      <c r="J70" s="33">
        <f>INPUTS!AC70</f>
        <v>5.7</v>
      </c>
      <c r="K70" s="33">
        <f>INPUTS!AD70</f>
        <v>0</v>
      </c>
      <c r="L70" s="33">
        <f>INPUTS!AE70</f>
        <v>5.7</v>
      </c>
      <c r="M70" s="33">
        <f>INPUTS!AF70</f>
        <v>2.1280000000000001</v>
      </c>
      <c r="N70" s="34">
        <f>INPUTS!AG70</f>
        <v>969.76239999999916</v>
      </c>
    </row>
    <row r="71" spans="1:14" hidden="1" x14ac:dyDescent="0.25">
      <c r="A71" s="5" t="str">
        <f>INPUTS!B71</f>
        <v>Papatoetoe</v>
      </c>
      <c r="B71" s="5" t="str">
        <f>INPUTS!C71</f>
        <v>Kolmar Road</v>
      </c>
      <c r="C71" s="6">
        <f>INPUTS!E71</f>
        <v>1.3</v>
      </c>
      <c r="D71" s="6">
        <f>INPUTS!R71</f>
        <v>13</v>
      </c>
      <c r="E71" s="6">
        <f>INPUTS!V71</f>
        <v>226.1</v>
      </c>
      <c r="F71" s="6">
        <f>INPUTS!W71</f>
        <v>60</v>
      </c>
      <c r="G71" s="33">
        <f>INPUTS!Z71</f>
        <v>2.6</v>
      </c>
      <c r="H71" s="33">
        <f>INPUTS!AA71</f>
        <v>0</v>
      </c>
      <c r="I71" s="33">
        <f>INPUTS!AB71</f>
        <v>0.78</v>
      </c>
      <c r="J71" s="33">
        <f>INPUTS!AC71</f>
        <v>0</v>
      </c>
      <c r="K71" s="33">
        <f>INPUTS!AD71</f>
        <v>0.78</v>
      </c>
      <c r="L71" s="33">
        <f>INPUTS!AE71</f>
        <v>0</v>
      </c>
      <c r="M71" s="33">
        <f>INPUTS!AF71</f>
        <v>0.29120000000000001</v>
      </c>
      <c r="N71" s="34">
        <f>INPUTS!AG71</f>
        <v>974.21359999999913</v>
      </c>
    </row>
    <row r="72" spans="1:14" hidden="1" x14ac:dyDescent="0.25">
      <c r="A72" s="5" t="str">
        <f>INPUTS!B72</f>
        <v xml:space="preserve">Albany </v>
      </c>
      <c r="B72" s="5" t="str">
        <f>INPUTS!C72</f>
        <v>Oteha Valley Rd (west of SH1); Oteha Valley Rd Extension</v>
      </c>
      <c r="C72" s="6">
        <f>INPUTS!E72</f>
        <v>1</v>
      </c>
      <c r="D72" s="6">
        <f>INPUTS!R72</f>
        <v>14</v>
      </c>
      <c r="E72" s="6">
        <f>INPUTS!V72</f>
        <v>52.5</v>
      </c>
      <c r="F72" s="6">
        <f>INPUTS!W72</f>
        <v>70</v>
      </c>
      <c r="G72" s="33">
        <f>INPUTS!Z72</f>
        <v>5</v>
      </c>
      <c r="H72" s="33">
        <f>INPUTS!AA72</f>
        <v>0</v>
      </c>
      <c r="I72" s="33">
        <f>INPUTS!AB72</f>
        <v>1.5</v>
      </c>
      <c r="J72" s="33">
        <f>INPUTS!AC72</f>
        <v>0</v>
      </c>
      <c r="K72" s="33">
        <f>INPUTS!AD72</f>
        <v>1.5</v>
      </c>
      <c r="L72" s="33">
        <f>INPUTS!AE72</f>
        <v>0</v>
      </c>
      <c r="M72" s="33">
        <f>INPUTS!AF72</f>
        <v>0.56000000000000005</v>
      </c>
      <c r="N72" s="34">
        <f>INPUTS!AG72</f>
        <v>982.77359999999908</v>
      </c>
    </row>
    <row r="73" spans="1:14" hidden="1" x14ac:dyDescent="0.25">
      <c r="A73" s="5" t="str">
        <f>INPUTS!B73</f>
        <v xml:space="preserve">Albany </v>
      </c>
      <c r="B73" s="5" t="str">
        <f>INPUTS!C73</f>
        <v>Oteha Valley Rd (east of SH1)</v>
      </c>
      <c r="C73" s="6">
        <f>INPUTS!E73</f>
        <v>1.3</v>
      </c>
      <c r="D73" s="6">
        <f>INPUTS!R73</f>
        <v>15</v>
      </c>
      <c r="E73" s="6">
        <f>INPUTS!V73</f>
        <v>95.0625</v>
      </c>
      <c r="F73" s="6">
        <f>INPUTS!W73</f>
        <v>70</v>
      </c>
      <c r="G73" s="33">
        <f>INPUTS!Z73</f>
        <v>10.4</v>
      </c>
      <c r="H73" s="33">
        <f>INPUTS!AA73</f>
        <v>0</v>
      </c>
      <c r="I73" s="33">
        <f>INPUTS!AB73</f>
        <v>3.12</v>
      </c>
      <c r="J73" s="33">
        <f>INPUTS!AC73</f>
        <v>0</v>
      </c>
      <c r="K73" s="33">
        <f>INPUTS!AD73</f>
        <v>3.12</v>
      </c>
      <c r="L73" s="33">
        <f>INPUTS!AE73</f>
        <v>0</v>
      </c>
      <c r="M73" s="33">
        <f>INPUTS!AF73</f>
        <v>1.1648000000000001</v>
      </c>
      <c r="N73" s="34">
        <f>INPUTS!AG73</f>
        <v>1000.5783999999991</v>
      </c>
    </row>
    <row r="74" spans="1:14" hidden="1" x14ac:dyDescent="0.25">
      <c r="A74" s="5" t="str">
        <f>INPUTS!B74</f>
        <v>Constellation</v>
      </c>
      <c r="B74" s="5" t="str">
        <f>INPUTS!C74</f>
        <v>Constellation Drive</v>
      </c>
      <c r="C74" s="6">
        <f>INPUTS!E74</f>
        <v>1.3</v>
      </c>
      <c r="D74" s="6">
        <f>INPUTS!R74</f>
        <v>11</v>
      </c>
      <c r="E74" s="6">
        <f>INPUTS!V74</f>
        <v>23.310000000000002</v>
      </c>
      <c r="F74" s="6">
        <f>INPUTS!W74</f>
        <v>70</v>
      </c>
      <c r="G74" s="33">
        <f>INPUTS!Z74</f>
        <v>13</v>
      </c>
      <c r="H74" s="33">
        <f>INPUTS!AA74</f>
        <v>0</v>
      </c>
      <c r="I74" s="33">
        <f>INPUTS!AB74</f>
        <v>3.9</v>
      </c>
      <c r="J74" s="33">
        <f>INPUTS!AC74</f>
        <v>0</v>
      </c>
      <c r="K74" s="33">
        <f>INPUTS!AD74</f>
        <v>3.9</v>
      </c>
      <c r="L74" s="33">
        <f>INPUTS!AE74</f>
        <v>0</v>
      </c>
      <c r="M74" s="33">
        <f>INPUTS!AF74</f>
        <v>1.456</v>
      </c>
      <c r="N74" s="34">
        <f>INPUTS!AG74</f>
        <v>1022.8343999999991</v>
      </c>
    </row>
    <row r="75" spans="1:14" hidden="1" x14ac:dyDescent="0.25">
      <c r="A75" s="5" t="str">
        <f>INPUTS!B75</f>
        <v>Henderson</v>
      </c>
      <c r="B75" s="5" t="str">
        <f>INPUTS!C75</f>
        <v>Sturges Rd</v>
      </c>
      <c r="C75" s="6">
        <f>INPUTS!E75</f>
        <v>2.2000000000000002</v>
      </c>
      <c r="D75" s="6">
        <f>INPUTS!R75</f>
        <v>12</v>
      </c>
      <c r="E75" s="6">
        <f>INPUTS!V75</f>
        <v>240.5</v>
      </c>
      <c r="F75" s="6">
        <f>INPUTS!W75</f>
        <v>70</v>
      </c>
      <c r="G75" s="33">
        <f>INPUTS!Z75</f>
        <v>4.4000000000000004</v>
      </c>
      <c r="H75" s="33">
        <f>INPUTS!AA75</f>
        <v>0</v>
      </c>
      <c r="I75" s="33">
        <f>INPUTS!AB75</f>
        <v>1.32</v>
      </c>
      <c r="J75" s="33">
        <f>INPUTS!AC75</f>
        <v>0</v>
      </c>
      <c r="K75" s="33">
        <f>INPUTS!AD75</f>
        <v>1.32</v>
      </c>
      <c r="L75" s="33">
        <f>INPUTS!AE75</f>
        <v>0</v>
      </c>
      <c r="M75" s="33">
        <f>INPUTS!AF75</f>
        <v>0.49280000000000013</v>
      </c>
      <c r="N75" s="34">
        <f>INPUTS!AG75</f>
        <v>1030.367199999999</v>
      </c>
    </row>
    <row r="76" spans="1:14" hidden="1" x14ac:dyDescent="0.25">
      <c r="A76" s="5" t="str">
        <f>INPUTS!B76</f>
        <v>Henderson</v>
      </c>
      <c r="B76" s="5" t="str">
        <f>INPUTS!C76</f>
        <v>Henderson Valley Road</v>
      </c>
      <c r="C76" s="6">
        <f>INPUTS!E76</f>
        <v>2.2000000000000002</v>
      </c>
      <c r="D76" s="6">
        <f>INPUTS!R76</f>
        <v>16</v>
      </c>
      <c r="E76" s="6">
        <f>INPUTS!V76</f>
        <v>63</v>
      </c>
      <c r="F76" s="6">
        <f>INPUTS!W76</f>
        <v>70</v>
      </c>
      <c r="G76" s="33">
        <f>INPUTS!Z76</f>
        <v>11</v>
      </c>
      <c r="H76" s="33">
        <f>INPUTS!AA76</f>
        <v>0</v>
      </c>
      <c r="I76" s="33">
        <f>INPUTS!AB76</f>
        <v>3.3</v>
      </c>
      <c r="J76" s="33">
        <f>INPUTS!AC76</f>
        <v>0</v>
      </c>
      <c r="K76" s="33">
        <f>INPUTS!AD76</f>
        <v>3.3</v>
      </c>
      <c r="L76" s="33">
        <f>INPUTS!AE76</f>
        <v>0</v>
      </c>
      <c r="M76" s="33">
        <f>INPUTS!AF76</f>
        <v>1.2320000000000002</v>
      </c>
      <c r="N76" s="34">
        <f>INPUTS!AG76</f>
        <v>1049.1991999999991</v>
      </c>
    </row>
    <row r="77" spans="1:14" hidden="1" x14ac:dyDescent="0.25">
      <c r="A77" s="5" t="str">
        <f>INPUTS!B77</f>
        <v>Mt Albert</v>
      </c>
      <c r="B77" s="5" t="str">
        <f>INPUTS!C77</f>
        <v>Asquith Avenue</v>
      </c>
      <c r="C77" s="6">
        <f>INPUTS!E77</f>
        <v>1</v>
      </c>
      <c r="D77" s="6">
        <f>INPUTS!R77</f>
        <v>13</v>
      </c>
      <c r="E77" s="6">
        <f>INPUTS!V77</f>
        <v>99.72</v>
      </c>
      <c r="F77" s="6">
        <f>INPUTS!W77</f>
        <v>70</v>
      </c>
      <c r="G77" s="33">
        <f>INPUTS!Z77</f>
        <v>5</v>
      </c>
      <c r="H77" s="33">
        <f>INPUTS!AA77</f>
        <v>0</v>
      </c>
      <c r="I77" s="33">
        <f>INPUTS!AB77</f>
        <v>1.5</v>
      </c>
      <c r="J77" s="33">
        <f>INPUTS!AC77</f>
        <v>0</v>
      </c>
      <c r="K77" s="33">
        <f>INPUTS!AD77</f>
        <v>1.5</v>
      </c>
      <c r="L77" s="33">
        <f>INPUTS!AE77</f>
        <v>0</v>
      </c>
      <c r="M77" s="33">
        <f>INPUTS!AF77</f>
        <v>0.56000000000000005</v>
      </c>
      <c r="N77" s="34">
        <f>INPUTS!AG77</f>
        <v>1057.7591999999991</v>
      </c>
    </row>
    <row r="78" spans="1:14" hidden="1" x14ac:dyDescent="0.25">
      <c r="A78" s="5" t="str">
        <f>INPUTS!B78</f>
        <v>Mt Albert</v>
      </c>
      <c r="B78" s="5" t="str">
        <f>INPUTS!C78</f>
        <v>Melvern Rd; New North Rd</v>
      </c>
      <c r="C78" s="6">
        <f>INPUTS!E78</f>
        <v>1</v>
      </c>
      <c r="D78" s="6">
        <f>INPUTS!R78</f>
        <v>13</v>
      </c>
      <c r="E78" s="6">
        <f>INPUTS!V78</f>
        <v>91.12</v>
      </c>
      <c r="F78" s="6">
        <f>INPUTS!W78</f>
        <v>70</v>
      </c>
      <c r="G78" s="33">
        <f>INPUTS!Z78</f>
        <v>5</v>
      </c>
      <c r="H78" s="33">
        <f>INPUTS!AA78</f>
        <v>0</v>
      </c>
      <c r="I78" s="33">
        <f>INPUTS!AB78</f>
        <v>1.5</v>
      </c>
      <c r="J78" s="33">
        <f>INPUTS!AC78</f>
        <v>0</v>
      </c>
      <c r="K78" s="33">
        <f>INPUTS!AD78</f>
        <v>1.5</v>
      </c>
      <c r="L78" s="33">
        <f>INPUTS!AE78</f>
        <v>0</v>
      </c>
      <c r="M78" s="33">
        <f>INPUTS!AF78</f>
        <v>0.56000000000000005</v>
      </c>
      <c r="N78" s="34">
        <f>INPUTS!AG78</f>
        <v>1066.319199999999</v>
      </c>
    </row>
    <row r="79" spans="1:14" hidden="1" x14ac:dyDescent="0.25">
      <c r="A79" s="5" t="str">
        <f>INPUTS!B79</f>
        <v>Greenlane</v>
      </c>
      <c r="B79" s="5" t="str">
        <f>INPUTS!C79</f>
        <v>Green Lane East (east of Peach Parade)</v>
      </c>
      <c r="C79" s="6">
        <f>INPUTS!E79</f>
        <v>0.6</v>
      </c>
      <c r="D79" s="6">
        <f>INPUTS!R79</f>
        <v>14</v>
      </c>
      <c r="E79" s="6">
        <f>INPUTS!V79</f>
        <v>14.399999999999999</v>
      </c>
      <c r="F79" s="6">
        <f>INPUTS!W79</f>
        <v>70</v>
      </c>
      <c r="G79" s="33">
        <f>INPUTS!Z79</f>
        <v>3</v>
      </c>
      <c r="H79" s="33">
        <f>INPUTS!AA79</f>
        <v>0</v>
      </c>
      <c r="I79" s="33">
        <f>INPUTS!AB79</f>
        <v>0.89999999999999991</v>
      </c>
      <c r="J79" s="33">
        <f>INPUTS!AC79</f>
        <v>0</v>
      </c>
      <c r="K79" s="33">
        <f>INPUTS!AD79</f>
        <v>0.89999999999999991</v>
      </c>
      <c r="L79" s="33">
        <f>INPUTS!AE79</f>
        <v>0</v>
      </c>
      <c r="M79" s="33">
        <f>INPUTS!AF79</f>
        <v>0.33600000000000002</v>
      </c>
      <c r="N79" s="34">
        <f>INPUTS!AG79</f>
        <v>1071.455199999999</v>
      </c>
    </row>
    <row r="80" spans="1:14" hidden="1" x14ac:dyDescent="0.25">
      <c r="A80" s="5" t="str">
        <f>INPUTS!B80</f>
        <v>Otahuhu</v>
      </c>
      <c r="B80" s="5" t="str">
        <f>INPUTS!C80</f>
        <v>Mt Wellington Highway (south of SE Highway off-ramp); Atkinson Avenue</v>
      </c>
      <c r="C80" s="6">
        <f>INPUTS!E80</f>
        <v>2.4</v>
      </c>
      <c r="D80" s="6">
        <f>INPUTS!R80</f>
        <v>12</v>
      </c>
      <c r="E80" s="6">
        <f>INPUTS!V80</f>
        <v>91.86</v>
      </c>
      <c r="F80" s="6">
        <f>INPUTS!W80</f>
        <v>70</v>
      </c>
      <c r="G80" s="33">
        <f>INPUTS!Z80</f>
        <v>0</v>
      </c>
      <c r="H80" s="33">
        <f>INPUTS!AA80</f>
        <v>24</v>
      </c>
      <c r="I80" s="33">
        <f>INPUTS!AB80</f>
        <v>0</v>
      </c>
      <c r="J80" s="33">
        <f>INPUTS!AC80</f>
        <v>7.1999999999999993</v>
      </c>
      <c r="K80" s="33">
        <f>INPUTS!AD80</f>
        <v>0</v>
      </c>
      <c r="L80" s="33">
        <f>INPUTS!AE80</f>
        <v>7.1999999999999993</v>
      </c>
      <c r="M80" s="33">
        <f>INPUTS!AF80</f>
        <v>2.6880000000000002</v>
      </c>
      <c r="N80" s="34">
        <f>INPUTS!AG80</f>
        <v>1112.5431999999989</v>
      </c>
    </row>
    <row r="81" spans="1:14" hidden="1" x14ac:dyDescent="0.25">
      <c r="A81" s="5" t="str">
        <f>INPUTS!B81</f>
        <v xml:space="preserve">Albany </v>
      </c>
      <c r="B81" s="5" t="str">
        <f>INPUTS!C81</f>
        <v>Spencer Rd</v>
      </c>
      <c r="C81" s="6">
        <f>INPUTS!E81</f>
        <v>0.4</v>
      </c>
      <c r="D81" s="6">
        <f>INPUTS!R81</f>
        <v>13</v>
      </c>
      <c r="E81" s="6">
        <f>INPUTS!V81</f>
        <v>149.75</v>
      </c>
      <c r="F81" s="6">
        <f>INPUTS!W81</f>
        <v>80</v>
      </c>
      <c r="G81" s="33">
        <f>INPUTS!Z81</f>
        <v>0.8</v>
      </c>
      <c r="H81" s="33">
        <f>INPUTS!AA81</f>
        <v>0</v>
      </c>
      <c r="I81" s="33">
        <f>INPUTS!AB81</f>
        <v>0.24</v>
      </c>
      <c r="J81" s="33">
        <f>INPUTS!AC81</f>
        <v>0</v>
      </c>
      <c r="K81" s="33">
        <f>INPUTS!AD81</f>
        <v>0.24</v>
      </c>
      <c r="L81" s="33">
        <f>INPUTS!AE81</f>
        <v>0</v>
      </c>
      <c r="M81" s="33">
        <f>INPUTS!AF81</f>
        <v>8.9600000000000013E-2</v>
      </c>
      <c r="N81" s="34">
        <f>INPUTS!AG81</f>
        <v>1113.9127999999989</v>
      </c>
    </row>
    <row r="82" spans="1:14" hidden="1" x14ac:dyDescent="0.25">
      <c r="A82" s="5" t="str">
        <f>INPUTS!B82</f>
        <v xml:space="preserve">Albany </v>
      </c>
      <c r="B82" s="5" t="str">
        <f>INPUTS!C82</f>
        <v>Carlisle Rd; Beach Rd; Browns Bay Rd</v>
      </c>
      <c r="C82" s="6">
        <f>INPUTS!E82</f>
        <v>3</v>
      </c>
      <c r="D82" s="6">
        <f>INPUTS!R82</f>
        <v>12</v>
      </c>
      <c r="E82" s="6">
        <f>INPUTS!V82</f>
        <v>81.5</v>
      </c>
      <c r="F82" s="6">
        <f>INPUTS!W82</f>
        <v>80</v>
      </c>
      <c r="G82" s="33">
        <f>INPUTS!Z82</f>
        <v>15</v>
      </c>
      <c r="H82" s="33">
        <f>INPUTS!AA82</f>
        <v>0</v>
      </c>
      <c r="I82" s="33">
        <f>INPUTS!AB82</f>
        <v>4.5</v>
      </c>
      <c r="J82" s="33">
        <f>INPUTS!AC82</f>
        <v>0</v>
      </c>
      <c r="K82" s="33">
        <f>INPUTS!AD82</f>
        <v>4.5</v>
      </c>
      <c r="L82" s="33">
        <f>INPUTS!AE82</f>
        <v>0</v>
      </c>
      <c r="M82" s="33">
        <f>INPUTS!AF82</f>
        <v>1.6800000000000002</v>
      </c>
      <c r="N82" s="34">
        <f>INPUTS!AG82</f>
        <v>1139.592799999999</v>
      </c>
    </row>
    <row r="83" spans="1:14" hidden="1" x14ac:dyDescent="0.25">
      <c r="A83" s="5" t="str">
        <f>INPUTS!B83</f>
        <v xml:space="preserve">Albany </v>
      </c>
      <c r="B83" s="5" t="str">
        <f>INPUTS!C83</f>
        <v>Greville Rd</v>
      </c>
      <c r="C83" s="6">
        <f>INPUTS!E83</f>
        <v>1</v>
      </c>
      <c r="D83" s="6">
        <f>INPUTS!R83</f>
        <v>16</v>
      </c>
      <c r="E83" s="6">
        <f>INPUTS!V83</f>
        <v>105.75</v>
      </c>
      <c r="F83" s="6">
        <f>INPUTS!W83</f>
        <v>80</v>
      </c>
      <c r="G83" s="33">
        <f>INPUTS!Z83</f>
        <v>2</v>
      </c>
      <c r="H83" s="33">
        <f>INPUTS!AA83</f>
        <v>0</v>
      </c>
      <c r="I83" s="33">
        <f>INPUTS!AB83</f>
        <v>0.6</v>
      </c>
      <c r="J83" s="33">
        <f>INPUTS!AC83</f>
        <v>0</v>
      </c>
      <c r="K83" s="33">
        <f>INPUTS!AD83</f>
        <v>0.6</v>
      </c>
      <c r="L83" s="33">
        <f>INPUTS!AE83</f>
        <v>0</v>
      </c>
      <c r="M83" s="33">
        <f>INPUTS!AF83</f>
        <v>0.22400000000000003</v>
      </c>
      <c r="N83" s="34">
        <f>INPUTS!AG83</f>
        <v>1143.016799999999</v>
      </c>
    </row>
    <row r="84" spans="1:14" hidden="1" x14ac:dyDescent="0.25">
      <c r="A84" s="5" t="str">
        <f>INPUTS!B84</f>
        <v>Greenlane</v>
      </c>
      <c r="B84" s="5" t="str">
        <f>INPUTS!C84</f>
        <v>Rockfield Rd; Oranga Ave; Waitangi Rd; Rawhiti Rd</v>
      </c>
      <c r="C84" s="6">
        <f>INPUTS!E84</f>
        <v>3.2</v>
      </c>
      <c r="D84" s="6">
        <f>INPUTS!R84</f>
        <v>14</v>
      </c>
      <c r="E84" s="6">
        <f>INPUTS!V84</f>
        <v>49</v>
      </c>
      <c r="F84" s="6">
        <f>INPUTS!W84</f>
        <v>80</v>
      </c>
      <c r="G84" s="33">
        <f>INPUTS!Z84</f>
        <v>6.4</v>
      </c>
      <c r="H84" s="33">
        <f>INPUTS!AA84</f>
        <v>0</v>
      </c>
      <c r="I84" s="33">
        <f>INPUTS!AB84</f>
        <v>1.92</v>
      </c>
      <c r="J84" s="33">
        <f>INPUTS!AC84</f>
        <v>0</v>
      </c>
      <c r="K84" s="33">
        <f>INPUTS!AD84</f>
        <v>1.92</v>
      </c>
      <c r="L84" s="33">
        <f>INPUTS!AE84</f>
        <v>0</v>
      </c>
      <c r="M84" s="33">
        <f>INPUTS!AF84</f>
        <v>0.7168000000000001</v>
      </c>
      <c r="N84" s="34">
        <f>INPUTS!AG84</f>
        <v>1153.9735999999989</v>
      </c>
    </row>
    <row r="85" spans="1:14" hidden="1" x14ac:dyDescent="0.25">
      <c r="A85" s="5" t="str">
        <f>INPUTS!B85</f>
        <v>Eastern Bays</v>
      </c>
      <c r="B85" s="5" t="str">
        <f>INPUTS!C85</f>
        <v>Atkin Ave</v>
      </c>
      <c r="C85" s="6">
        <f>INPUTS!E85</f>
        <v>1.2</v>
      </c>
      <c r="D85" s="6">
        <f>INPUTS!R85</f>
        <v>13</v>
      </c>
      <c r="E85" s="6">
        <f>INPUTS!V85</f>
        <v>10</v>
      </c>
      <c r="F85" s="6">
        <f>INPUTS!W85</f>
        <v>80</v>
      </c>
      <c r="G85" s="33">
        <f>INPUTS!Z85</f>
        <v>2.4</v>
      </c>
      <c r="H85" s="33">
        <f>INPUTS!AA85</f>
        <v>0</v>
      </c>
      <c r="I85" s="33">
        <f>INPUTS!AB85</f>
        <v>0.72</v>
      </c>
      <c r="J85" s="33">
        <f>INPUTS!AC85</f>
        <v>0</v>
      </c>
      <c r="K85" s="33">
        <f>INPUTS!AD85</f>
        <v>0.72</v>
      </c>
      <c r="L85" s="33">
        <f>INPUTS!AE85</f>
        <v>0</v>
      </c>
      <c r="M85" s="33">
        <f>INPUTS!AF85</f>
        <v>0.26880000000000004</v>
      </c>
      <c r="N85" s="34">
        <f>INPUTS!AG85</f>
        <v>1158.0823999999989</v>
      </c>
    </row>
    <row r="86" spans="1:14" hidden="1" x14ac:dyDescent="0.25">
      <c r="A86" s="5" t="str">
        <f>INPUTS!B86</f>
        <v>Eastern Bays</v>
      </c>
      <c r="B86" s="5" t="str">
        <f>INPUTS!C86</f>
        <v>Kepa Rd; Kohimarama Rd</v>
      </c>
      <c r="C86" s="6">
        <f>INPUTS!E86</f>
        <v>1.9</v>
      </c>
      <c r="D86" s="6">
        <f>INPUTS!R86</f>
        <v>13</v>
      </c>
      <c r="E86" s="6">
        <f>INPUTS!V86</f>
        <v>35.25</v>
      </c>
      <c r="F86" s="6">
        <f>INPUTS!W86</f>
        <v>80</v>
      </c>
      <c r="G86" s="33">
        <f>INPUTS!Z86</f>
        <v>15.2</v>
      </c>
      <c r="H86" s="33">
        <f>INPUTS!AA86</f>
        <v>0</v>
      </c>
      <c r="I86" s="33">
        <f>INPUTS!AB86</f>
        <v>4.5599999999999996</v>
      </c>
      <c r="J86" s="33">
        <f>INPUTS!AC86</f>
        <v>0</v>
      </c>
      <c r="K86" s="33">
        <f>INPUTS!AD86</f>
        <v>4.5599999999999996</v>
      </c>
      <c r="L86" s="33">
        <f>INPUTS!AE86</f>
        <v>0</v>
      </c>
      <c r="M86" s="33">
        <f>INPUTS!AF86</f>
        <v>1.7023999999999999</v>
      </c>
      <c r="N86" s="34">
        <f>INPUTS!AG86</f>
        <v>1184.1047999999989</v>
      </c>
    </row>
    <row r="87" spans="1:14" hidden="1" x14ac:dyDescent="0.25">
      <c r="A87" s="5" t="str">
        <f>INPUTS!B87</f>
        <v>Panmure</v>
      </c>
      <c r="B87" s="5" t="str">
        <f>INPUTS!C87</f>
        <v>Tripoli Road; Queens Rd</v>
      </c>
      <c r="C87" s="6">
        <f>INPUTS!E87</f>
        <v>2.1</v>
      </c>
      <c r="D87" s="6">
        <f>INPUTS!R87</f>
        <v>15</v>
      </c>
      <c r="E87" s="6">
        <f>INPUTS!V87</f>
        <v>76.650000000000006</v>
      </c>
      <c r="F87" s="6">
        <f>INPUTS!W87</f>
        <v>80</v>
      </c>
      <c r="G87" s="33">
        <f>INPUTS!Z87</f>
        <v>4.2</v>
      </c>
      <c r="H87" s="33">
        <f>INPUTS!AA87</f>
        <v>0</v>
      </c>
      <c r="I87" s="33">
        <f>INPUTS!AB87</f>
        <v>1.26</v>
      </c>
      <c r="J87" s="33">
        <f>INPUTS!AC87</f>
        <v>0</v>
      </c>
      <c r="K87" s="33">
        <f>INPUTS!AD87</f>
        <v>1.26</v>
      </c>
      <c r="L87" s="33">
        <f>INPUTS!AE87</f>
        <v>0</v>
      </c>
      <c r="M87" s="33">
        <f>INPUTS!AF87</f>
        <v>0.47040000000000004</v>
      </c>
      <c r="N87" s="34">
        <f>INPUTS!AG87</f>
        <v>1191.2951999999989</v>
      </c>
    </row>
    <row r="88" spans="1:14" hidden="1" x14ac:dyDescent="0.25">
      <c r="A88" s="5" t="str">
        <f>INPUTS!B88</f>
        <v>Bucklands Beach</v>
      </c>
      <c r="B88" s="5" t="str">
        <f>INPUTS!C88</f>
        <v>Sunderlands Rd; Pigeon Mountain Rd; Ara Tai</v>
      </c>
      <c r="C88" s="6">
        <f>INPUTS!E88</f>
        <v>1.6</v>
      </c>
      <c r="D88" s="6">
        <f>INPUTS!R88</f>
        <v>13</v>
      </c>
      <c r="E88" s="6">
        <f>INPUTS!V88</f>
        <v>74.05</v>
      </c>
      <c r="F88" s="6">
        <f>INPUTS!W88</f>
        <v>80</v>
      </c>
      <c r="G88" s="33">
        <f>INPUTS!Z88</f>
        <v>3.2</v>
      </c>
      <c r="H88" s="33">
        <f>INPUTS!AA88</f>
        <v>0</v>
      </c>
      <c r="I88" s="33">
        <f>INPUTS!AB88</f>
        <v>0.96</v>
      </c>
      <c r="J88" s="33">
        <f>INPUTS!AC88</f>
        <v>0</v>
      </c>
      <c r="K88" s="33">
        <f>INPUTS!AD88</f>
        <v>0.96</v>
      </c>
      <c r="L88" s="33">
        <f>INPUTS!AE88</f>
        <v>0</v>
      </c>
      <c r="M88" s="33">
        <f>INPUTS!AF88</f>
        <v>0.35840000000000005</v>
      </c>
      <c r="N88" s="34">
        <f>INPUTS!AG88</f>
        <v>1196.7735999999989</v>
      </c>
    </row>
    <row r="89" spans="1:14" hidden="1" x14ac:dyDescent="0.25">
      <c r="A89" s="5" t="str">
        <f>INPUTS!B89</f>
        <v>Bucklands Beach</v>
      </c>
      <c r="B89" s="5" t="str">
        <f>INPUTS!C89</f>
        <v>Bucklands Beach Rd (south)</v>
      </c>
      <c r="C89" s="6">
        <f>INPUTS!E89</f>
        <v>1.1000000000000001</v>
      </c>
      <c r="D89" s="6">
        <f>INPUTS!R89</f>
        <v>14</v>
      </c>
      <c r="E89" s="6">
        <f>INPUTS!V89</f>
        <v>74.05</v>
      </c>
      <c r="F89" s="6">
        <f>INPUTS!W89</f>
        <v>80</v>
      </c>
      <c r="G89" s="33">
        <f>INPUTS!Z89</f>
        <v>2.2000000000000002</v>
      </c>
      <c r="H89" s="33">
        <f>INPUTS!AA89</f>
        <v>10</v>
      </c>
      <c r="I89" s="33">
        <f>INPUTS!AB89</f>
        <v>0.66</v>
      </c>
      <c r="J89" s="33">
        <f>INPUTS!AC89</f>
        <v>3</v>
      </c>
      <c r="K89" s="33">
        <f>INPUTS!AD89</f>
        <v>0.66</v>
      </c>
      <c r="L89" s="33">
        <f>INPUTS!AE89</f>
        <v>3</v>
      </c>
      <c r="M89" s="33">
        <f>INPUTS!AF89</f>
        <v>1.3664000000000001</v>
      </c>
      <c r="N89" s="34">
        <f>INPUTS!AG89</f>
        <v>1217.6599999999989</v>
      </c>
    </row>
    <row r="90" spans="1:14" hidden="1" x14ac:dyDescent="0.25">
      <c r="A90" s="5" t="str">
        <f>INPUTS!B90</f>
        <v>Botany</v>
      </c>
      <c r="B90" s="5" t="str">
        <f>INPUTS!C90</f>
        <v>Cascades Rd</v>
      </c>
      <c r="C90" s="6">
        <f>INPUTS!E90</f>
        <v>2.4</v>
      </c>
      <c r="D90" s="6">
        <f>INPUTS!R90</f>
        <v>15</v>
      </c>
      <c r="E90" s="6">
        <f>INPUTS!V90</f>
        <v>223.5</v>
      </c>
      <c r="F90" s="6">
        <f>INPUTS!W90</f>
        <v>80</v>
      </c>
      <c r="G90" s="33">
        <f>INPUTS!Z90</f>
        <v>4.8</v>
      </c>
      <c r="H90" s="33">
        <f>INPUTS!AA90</f>
        <v>0</v>
      </c>
      <c r="I90" s="33">
        <f>INPUTS!AB90</f>
        <v>1.44</v>
      </c>
      <c r="J90" s="33">
        <f>INPUTS!AC90</f>
        <v>0</v>
      </c>
      <c r="K90" s="33">
        <f>INPUTS!AD90</f>
        <v>1.44</v>
      </c>
      <c r="L90" s="33">
        <f>INPUTS!AE90</f>
        <v>0</v>
      </c>
      <c r="M90" s="33">
        <f>INPUTS!AF90</f>
        <v>0.53760000000000008</v>
      </c>
      <c r="N90" s="34">
        <f>INPUTS!AG90</f>
        <v>1225.8775999999989</v>
      </c>
    </row>
    <row r="91" spans="1:14" hidden="1" x14ac:dyDescent="0.25">
      <c r="A91" s="5" t="str">
        <f>INPUTS!B91</f>
        <v>Māngere</v>
      </c>
      <c r="B91" s="5" t="str">
        <f>INPUTS!C91</f>
        <v>Gray Avenue</v>
      </c>
      <c r="C91" s="6">
        <f>INPUTS!E91</f>
        <v>1.9</v>
      </c>
      <c r="D91" s="6">
        <f>INPUTS!R91</f>
        <v>15</v>
      </c>
      <c r="E91" s="6">
        <f>INPUTS!V91</f>
        <v>46.32</v>
      </c>
      <c r="F91" s="6">
        <f>INPUTS!W91</f>
        <v>80</v>
      </c>
      <c r="G91" s="33">
        <f>INPUTS!Z91</f>
        <v>3.8</v>
      </c>
      <c r="H91" s="33">
        <f>INPUTS!AA91</f>
        <v>0</v>
      </c>
      <c r="I91" s="33">
        <f>INPUTS!AB91</f>
        <v>1.1399999999999999</v>
      </c>
      <c r="J91" s="33">
        <f>INPUTS!AC91</f>
        <v>0</v>
      </c>
      <c r="K91" s="33">
        <f>INPUTS!AD91</f>
        <v>1.1399999999999999</v>
      </c>
      <c r="L91" s="33">
        <f>INPUTS!AE91</f>
        <v>0</v>
      </c>
      <c r="M91" s="33">
        <f>INPUTS!AF91</f>
        <v>0.42559999999999998</v>
      </c>
      <c r="N91" s="34">
        <f>INPUTS!AG91</f>
        <v>1232.3831999999989</v>
      </c>
    </row>
    <row r="92" spans="1:14" hidden="1" x14ac:dyDescent="0.25">
      <c r="A92" s="5" t="str">
        <f>INPUTS!B92</f>
        <v>Papatoetoe</v>
      </c>
      <c r="B92" s="5" t="str">
        <f>INPUTS!C92</f>
        <v>Kenderdine Road</v>
      </c>
      <c r="C92" s="6">
        <f>INPUTS!E92</f>
        <v>1</v>
      </c>
      <c r="D92" s="6">
        <f>INPUTS!R92</f>
        <v>15</v>
      </c>
      <c r="E92" s="6">
        <f>INPUTS!V92</f>
        <v>114.1</v>
      </c>
      <c r="F92" s="6">
        <f>INPUTS!W92</f>
        <v>80</v>
      </c>
      <c r="G92" s="33">
        <f>INPUTS!Z92</f>
        <v>2</v>
      </c>
      <c r="H92" s="33">
        <f>INPUTS!AA92</f>
        <v>0</v>
      </c>
      <c r="I92" s="33">
        <f>INPUTS!AB92</f>
        <v>0.6</v>
      </c>
      <c r="J92" s="33">
        <f>INPUTS!AC92</f>
        <v>0</v>
      </c>
      <c r="K92" s="33">
        <f>INPUTS!AD92</f>
        <v>0.6</v>
      </c>
      <c r="L92" s="33">
        <f>INPUTS!AE92</f>
        <v>0</v>
      </c>
      <c r="M92" s="33">
        <f>INPUTS!AF92</f>
        <v>0.22400000000000003</v>
      </c>
      <c r="N92" s="34">
        <f>INPUTS!AG92</f>
        <v>1235.8071999999988</v>
      </c>
    </row>
    <row r="93" spans="1:14" hidden="1" x14ac:dyDescent="0.25">
      <c r="A93" s="5" t="str">
        <f>INPUTS!B93</f>
        <v>Manurewa</v>
      </c>
      <c r="B93" s="5" t="str">
        <f>INPUTS!C93</f>
        <v>Russell Road</v>
      </c>
      <c r="C93" s="6">
        <f>INPUTS!E93</f>
        <v>2.1</v>
      </c>
      <c r="D93" s="6">
        <f>INPUTS!R93</f>
        <v>16</v>
      </c>
      <c r="E93" s="6">
        <f>INPUTS!V93</f>
        <v>82.800000000000011</v>
      </c>
      <c r="F93" s="6">
        <f>INPUTS!W93</f>
        <v>80</v>
      </c>
      <c r="G93" s="33">
        <f>INPUTS!Z93</f>
        <v>4.2</v>
      </c>
      <c r="H93" s="33">
        <f>INPUTS!AA93</f>
        <v>0</v>
      </c>
      <c r="I93" s="33">
        <f>INPUTS!AB93</f>
        <v>1.26</v>
      </c>
      <c r="J93" s="33">
        <f>INPUTS!AC93</f>
        <v>0</v>
      </c>
      <c r="K93" s="33">
        <f>INPUTS!AD93</f>
        <v>1.26</v>
      </c>
      <c r="L93" s="33">
        <f>INPUTS!AE93</f>
        <v>0</v>
      </c>
      <c r="M93" s="33">
        <f>INPUTS!AF93</f>
        <v>0.47040000000000004</v>
      </c>
      <c r="N93" s="34">
        <f>INPUTS!AG93</f>
        <v>1242.9975999999988</v>
      </c>
    </row>
    <row r="94" spans="1:14" hidden="1" x14ac:dyDescent="0.25">
      <c r="A94" s="5" t="str">
        <f>INPUTS!B94</f>
        <v>Manurewa</v>
      </c>
      <c r="B94" s="5" t="str">
        <f>INPUTS!C94</f>
        <v>Swallow Drive; Wordsworth Road; Friedlanders Road</v>
      </c>
      <c r="C94" s="6">
        <f>INPUTS!E94</f>
        <v>2.4</v>
      </c>
      <c r="D94" s="6">
        <f>INPUTS!R94</f>
        <v>16</v>
      </c>
      <c r="E94" s="6">
        <f>INPUTS!V94</f>
        <v>82.800000000000011</v>
      </c>
      <c r="F94" s="6">
        <f>INPUTS!W94</f>
        <v>80</v>
      </c>
      <c r="G94" s="33">
        <f>INPUTS!Z94</f>
        <v>4.8</v>
      </c>
      <c r="H94" s="33">
        <f>INPUTS!AA94</f>
        <v>0</v>
      </c>
      <c r="I94" s="33">
        <f>INPUTS!AB94</f>
        <v>1.44</v>
      </c>
      <c r="J94" s="33">
        <f>INPUTS!AC94</f>
        <v>0</v>
      </c>
      <c r="K94" s="33">
        <f>INPUTS!AD94</f>
        <v>1.44</v>
      </c>
      <c r="L94" s="33">
        <f>INPUTS!AE94</f>
        <v>0</v>
      </c>
      <c r="M94" s="33">
        <f>INPUTS!AF94</f>
        <v>0.53760000000000008</v>
      </c>
      <c r="N94" s="34">
        <f>INPUTS!AG94</f>
        <v>1251.2151999999987</v>
      </c>
    </row>
    <row r="95" spans="1:14" hidden="1" x14ac:dyDescent="0.25">
      <c r="A95" s="5" t="str">
        <f>INPUTS!B95</f>
        <v>Manurewa</v>
      </c>
      <c r="B95" s="5" t="str">
        <f>INPUTS!C95</f>
        <v>Coxhead Road</v>
      </c>
      <c r="C95" s="6">
        <f>INPUTS!E95</f>
        <v>1.2</v>
      </c>
      <c r="D95" s="6">
        <f>INPUTS!R95</f>
        <v>14</v>
      </c>
      <c r="E95" s="6">
        <f>INPUTS!V95</f>
        <v>82.800000000000011</v>
      </c>
      <c r="F95" s="6">
        <f>INPUTS!W95</f>
        <v>80</v>
      </c>
      <c r="G95" s="33">
        <f>INPUTS!Z95</f>
        <v>2.4</v>
      </c>
      <c r="H95" s="33">
        <f>INPUTS!AA95</f>
        <v>0</v>
      </c>
      <c r="I95" s="33">
        <f>INPUTS!AB95</f>
        <v>0.72</v>
      </c>
      <c r="J95" s="33">
        <f>INPUTS!AC95</f>
        <v>0</v>
      </c>
      <c r="K95" s="33">
        <f>INPUTS!AD95</f>
        <v>0.72</v>
      </c>
      <c r="L95" s="33">
        <f>INPUTS!AE95</f>
        <v>0</v>
      </c>
      <c r="M95" s="33">
        <f>INPUTS!AF95</f>
        <v>0.26880000000000004</v>
      </c>
      <c r="N95" s="34">
        <f>INPUTS!AG95</f>
        <v>1255.3239999999987</v>
      </c>
    </row>
    <row r="96" spans="1:14" hidden="1" x14ac:dyDescent="0.25">
      <c r="A96" s="5" t="str">
        <f>INPUTS!B96</f>
        <v>Takapuna</v>
      </c>
      <c r="B96" s="5" t="str">
        <f>INPUTS!C96</f>
        <v>Lake Rd (north)</v>
      </c>
      <c r="C96" s="6">
        <f>INPUTS!E96</f>
        <v>1</v>
      </c>
      <c r="D96" s="6">
        <f>INPUTS!R96</f>
        <v>13</v>
      </c>
      <c r="E96" s="6">
        <f>INPUTS!V96</f>
        <v>27.6</v>
      </c>
      <c r="F96" s="6">
        <f>INPUTS!W96</f>
        <v>100</v>
      </c>
      <c r="G96" s="33">
        <f>INPUTS!Z96</f>
        <v>10</v>
      </c>
      <c r="H96" s="33">
        <f>INPUTS!AA96</f>
        <v>0</v>
      </c>
      <c r="I96" s="33">
        <f>INPUTS!AB96</f>
        <v>3</v>
      </c>
      <c r="J96" s="33">
        <f>INPUTS!AC96</f>
        <v>0</v>
      </c>
      <c r="K96" s="33">
        <f>INPUTS!AD96</f>
        <v>3</v>
      </c>
      <c r="L96" s="33">
        <f>INPUTS!AE96</f>
        <v>0</v>
      </c>
      <c r="M96" s="33">
        <f>INPUTS!AF96</f>
        <v>1.1200000000000001</v>
      </c>
      <c r="N96" s="34">
        <f>INPUTS!AG96</f>
        <v>1272.4439999999986</v>
      </c>
    </row>
    <row r="97" spans="1:14" hidden="1" x14ac:dyDescent="0.25">
      <c r="A97" s="5" t="str">
        <f>INPUTS!B97</f>
        <v>Westgate</v>
      </c>
      <c r="B97" s="5" t="str">
        <f>INPUTS!C97</f>
        <v>Brigham Creek Rd missing connections</v>
      </c>
      <c r="C97" s="6">
        <f>INPUTS!E97</f>
        <v>2</v>
      </c>
      <c r="D97" s="6">
        <f>INPUTS!R97</f>
        <v>13</v>
      </c>
      <c r="E97" s="6">
        <f>INPUTS!V97</f>
        <v>46</v>
      </c>
      <c r="F97" s="6">
        <f>INPUTS!W97</f>
        <v>100</v>
      </c>
      <c r="G97" s="33">
        <f>INPUTS!Z97</f>
        <v>10</v>
      </c>
      <c r="H97" s="33">
        <f>INPUTS!AA97</f>
        <v>0</v>
      </c>
      <c r="I97" s="33">
        <f>INPUTS!AB97</f>
        <v>3</v>
      </c>
      <c r="J97" s="33">
        <f>INPUTS!AC97</f>
        <v>0</v>
      </c>
      <c r="K97" s="33">
        <f>INPUTS!AD97</f>
        <v>3</v>
      </c>
      <c r="L97" s="33">
        <f>INPUTS!AE97</f>
        <v>0</v>
      </c>
      <c r="M97" s="33">
        <f>INPUTS!AF97</f>
        <v>1.1200000000000001</v>
      </c>
      <c r="N97" s="34">
        <f>INPUTS!AG97</f>
        <v>1289.5639999999985</v>
      </c>
    </row>
    <row r="98" spans="1:14" hidden="1" x14ac:dyDescent="0.25">
      <c r="A98" s="5" t="str">
        <f>INPUTS!B98</f>
        <v>Westgate</v>
      </c>
      <c r="B98" s="5" t="str">
        <f>INPUTS!C98</f>
        <v>Marina View Drive; Luckens Rd</v>
      </c>
      <c r="C98" s="6">
        <f>INPUTS!E98</f>
        <v>3.1</v>
      </c>
      <c r="D98" s="6">
        <f>INPUTS!R98</f>
        <v>12</v>
      </c>
      <c r="E98" s="6">
        <f>INPUTS!V98</f>
        <v>92</v>
      </c>
      <c r="F98" s="6">
        <f>INPUTS!W98</f>
        <v>100</v>
      </c>
      <c r="G98" s="33">
        <f>INPUTS!Z98</f>
        <v>6.2</v>
      </c>
      <c r="H98" s="33">
        <f>INPUTS!AA98</f>
        <v>0</v>
      </c>
      <c r="I98" s="33">
        <f>INPUTS!AB98</f>
        <v>1.8599999999999999</v>
      </c>
      <c r="J98" s="33">
        <f>INPUTS!AC98</f>
        <v>0</v>
      </c>
      <c r="K98" s="33">
        <f>INPUTS!AD98</f>
        <v>1.8599999999999999</v>
      </c>
      <c r="L98" s="33">
        <f>INPUTS!AE98</f>
        <v>0</v>
      </c>
      <c r="M98" s="33">
        <f>INPUTS!AF98</f>
        <v>0.69440000000000002</v>
      </c>
      <c r="N98" s="34">
        <f>INPUTS!AG98</f>
        <v>1300.1783999999984</v>
      </c>
    </row>
    <row r="99" spans="1:14" hidden="1" x14ac:dyDescent="0.25">
      <c r="A99" s="5" t="str">
        <f>INPUTS!B99</f>
        <v xml:space="preserve">Kingsland </v>
      </c>
      <c r="B99" s="5" t="str">
        <f>INPUTS!C99</f>
        <v>Bond St</v>
      </c>
      <c r="C99" s="6">
        <f>INPUTS!E99</f>
        <v>1</v>
      </c>
      <c r="D99" s="6">
        <f>INPUTS!R99</f>
        <v>12</v>
      </c>
      <c r="E99" s="6">
        <f>INPUTS!V99</f>
        <v>58.3</v>
      </c>
      <c r="F99" s="6">
        <f>INPUTS!W99</f>
        <v>100</v>
      </c>
      <c r="G99" s="33">
        <f>INPUTS!Z99</f>
        <v>10</v>
      </c>
      <c r="H99" s="33">
        <f>INPUTS!AA99</f>
        <v>0</v>
      </c>
      <c r="I99" s="33">
        <f>INPUTS!AB99</f>
        <v>3</v>
      </c>
      <c r="J99" s="33">
        <f>INPUTS!AC99</f>
        <v>0</v>
      </c>
      <c r="K99" s="33">
        <f>INPUTS!AD99</f>
        <v>3</v>
      </c>
      <c r="L99" s="33">
        <f>INPUTS!AE99</f>
        <v>0</v>
      </c>
      <c r="M99" s="33">
        <f>INPUTS!AF99</f>
        <v>1.1200000000000001</v>
      </c>
      <c r="N99" s="34">
        <f>INPUTS!AG99</f>
        <v>1317.2983999999983</v>
      </c>
    </row>
    <row r="100" spans="1:14" hidden="1" x14ac:dyDescent="0.25">
      <c r="A100" s="5" t="str">
        <f>INPUTS!B100</f>
        <v>Ellerslie</v>
      </c>
      <c r="B100" s="5" t="str">
        <f>INPUTS!C100</f>
        <v>Abbotts Way; Ngahue Dr</v>
      </c>
      <c r="C100" s="6">
        <f>INPUTS!E100</f>
        <v>2.2999999999999998</v>
      </c>
      <c r="D100" s="6">
        <f>INPUTS!R100</f>
        <v>13</v>
      </c>
      <c r="E100" s="6">
        <f>INPUTS!V100</f>
        <v>38.6</v>
      </c>
      <c r="F100" s="6">
        <f>INPUTS!W100</f>
        <v>100</v>
      </c>
      <c r="G100" s="33">
        <f>INPUTS!Z100</f>
        <v>4.5999999999999996</v>
      </c>
      <c r="H100" s="33">
        <f>INPUTS!AA100</f>
        <v>0</v>
      </c>
      <c r="I100" s="33">
        <f>INPUTS!AB100</f>
        <v>1.38</v>
      </c>
      <c r="J100" s="33">
        <f>INPUTS!AC100</f>
        <v>0</v>
      </c>
      <c r="K100" s="33">
        <f>INPUTS!AD100</f>
        <v>1.38</v>
      </c>
      <c r="L100" s="33">
        <f>INPUTS!AE100</f>
        <v>0</v>
      </c>
      <c r="M100" s="33">
        <f>INPUTS!AF100</f>
        <v>0.51519999999999999</v>
      </c>
      <c r="N100" s="34">
        <f>INPUTS!AG100</f>
        <v>1325.1735999999983</v>
      </c>
    </row>
    <row r="101" spans="1:14" hidden="1" x14ac:dyDescent="0.25">
      <c r="A101" s="5" t="str">
        <f>INPUTS!B101</f>
        <v>Bucklands Beach</v>
      </c>
      <c r="B101" s="5" t="str">
        <f>INPUTS!C101</f>
        <v xml:space="preserve">Clovelly Rd; Bucklands Beach Rd (north); </v>
      </c>
      <c r="C101" s="6">
        <f>INPUTS!E101</f>
        <v>2.8</v>
      </c>
      <c r="D101" s="6">
        <f>INPUTS!R101</f>
        <v>9</v>
      </c>
      <c r="E101" s="6">
        <f>INPUTS!V101</f>
        <v>74.05</v>
      </c>
      <c r="F101" s="6">
        <f>INPUTS!W101</f>
        <v>100</v>
      </c>
      <c r="G101" s="33">
        <f>INPUTS!Z101</f>
        <v>5.6</v>
      </c>
      <c r="H101" s="33">
        <f>INPUTS!AA101</f>
        <v>0</v>
      </c>
      <c r="I101" s="33">
        <f>INPUTS!AB101</f>
        <v>1.68</v>
      </c>
      <c r="J101" s="33">
        <f>INPUTS!AC101</f>
        <v>0</v>
      </c>
      <c r="K101" s="33">
        <f>INPUTS!AD101</f>
        <v>1.68</v>
      </c>
      <c r="L101" s="33">
        <f>INPUTS!AE101</f>
        <v>0</v>
      </c>
      <c r="M101" s="33">
        <f>INPUTS!AF101</f>
        <v>0.62719999999999998</v>
      </c>
      <c r="N101" s="34">
        <f>INPUTS!AG101</f>
        <v>1334.7607999999982</v>
      </c>
    </row>
    <row r="102" spans="1:14" hidden="1" x14ac:dyDescent="0.25">
      <c r="A102" s="5" t="str">
        <f>INPUTS!B102</f>
        <v>Bucklands Beach</v>
      </c>
      <c r="B102" s="5" t="str">
        <f>INPUTS!C102</f>
        <v>Macleans Rd</v>
      </c>
      <c r="C102" s="6">
        <f>INPUTS!E102</f>
        <v>1.3</v>
      </c>
      <c r="D102" s="6">
        <f>INPUTS!R102</f>
        <v>7</v>
      </c>
      <c r="E102" s="6">
        <f>INPUTS!V102</f>
        <v>74.05</v>
      </c>
      <c r="F102" s="6">
        <f>INPUTS!W102</f>
        <v>100</v>
      </c>
      <c r="G102" s="33">
        <f>INPUTS!Z102</f>
        <v>2.6</v>
      </c>
      <c r="H102" s="33">
        <f>INPUTS!AA102</f>
        <v>0</v>
      </c>
      <c r="I102" s="33">
        <f>INPUTS!AB102</f>
        <v>0.78</v>
      </c>
      <c r="J102" s="33">
        <f>INPUTS!AC102</f>
        <v>0</v>
      </c>
      <c r="K102" s="33">
        <f>INPUTS!AD102</f>
        <v>0.78</v>
      </c>
      <c r="L102" s="33">
        <f>INPUTS!AE102</f>
        <v>0</v>
      </c>
      <c r="M102" s="33">
        <f>INPUTS!AF102</f>
        <v>0.29120000000000001</v>
      </c>
      <c r="N102" s="34">
        <f>INPUTS!AG102</f>
        <v>1339.2119999999982</v>
      </c>
    </row>
    <row r="103" spans="1:14" hidden="1" x14ac:dyDescent="0.25">
      <c r="A103" s="5" t="str">
        <f>INPUTS!B103</f>
        <v>Bucklands Beach</v>
      </c>
      <c r="B103" s="5" t="str">
        <f>INPUTS!C103</f>
        <v>Fortunes Road; Butley Dr</v>
      </c>
      <c r="C103" s="6">
        <f>INPUTS!E103</f>
        <v>1.2</v>
      </c>
      <c r="D103" s="6">
        <f>INPUTS!R103</f>
        <v>9</v>
      </c>
      <c r="E103" s="6">
        <f>INPUTS!V103</f>
        <v>74.05</v>
      </c>
      <c r="F103" s="6">
        <f>INPUTS!W103</f>
        <v>100</v>
      </c>
      <c r="G103" s="33">
        <f>INPUTS!Z103</f>
        <v>2.4</v>
      </c>
      <c r="H103" s="33">
        <f>INPUTS!AA103</f>
        <v>0</v>
      </c>
      <c r="I103" s="33">
        <f>INPUTS!AB103</f>
        <v>0.72</v>
      </c>
      <c r="J103" s="33">
        <f>INPUTS!AC103</f>
        <v>0</v>
      </c>
      <c r="K103" s="33">
        <f>INPUTS!AD103</f>
        <v>0.72</v>
      </c>
      <c r="L103" s="33">
        <f>INPUTS!AE103</f>
        <v>0</v>
      </c>
      <c r="M103" s="33">
        <f>INPUTS!AF103</f>
        <v>0.26880000000000004</v>
      </c>
      <c r="N103" s="34">
        <f>INPUTS!AG103</f>
        <v>1343.3207999999981</v>
      </c>
    </row>
    <row r="104" spans="1:14" hidden="1" x14ac:dyDescent="0.25">
      <c r="A104" s="5" t="str">
        <f>INPUTS!B104</f>
        <v>Otara</v>
      </c>
      <c r="B104" s="5" t="str">
        <f>INPUTS!C104</f>
        <v>Whetstone Rd; Medvale Ave</v>
      </c>
      <c r="C104" s="6">
        <f>INPUTS!E104</f>
        <v>0.5</v>
      </c>
      <c r="D104" s="6">
        <f>INPUTS!R104</f>
        <v>12</v>
      </c>
      <c r="E104" s="6">
        <f>INPUTS!V104</f>
        <v>33.6</v>
      </c>
      <c r="F104" s="6">
        <f>INPUTS!W104</f>
        <v>100</v>
      </c>
      <c r="G104" s="33">
        <f>INPUTS!Z104</f>
        <v>1</v>
      </c>
      <c r="H104" s="33">
        <f>INPUTS!AA104</f>
        <v>0</v>
      </c>
      <c r="I104" s="33">
        <f>INPUTS!AB104</f>
        <v>0.3</v>
      </c>
      <c r="J104" s="33">
        <f>INPUTS!AC104</f>
        <v>0</v>
      </c>
      <c r="K104" s="33">
        <f>INPUTS!AD104</f>
        <v>0.3</v>
      </c>
      <c r="L104" s="33">
        <f>INPUTS!AE104</f>
        <v>0</v>
      </c>
      <c r="M104" s="33">
        <f>INPUTS!AF104</f>
        <v>0.11200000000000002</v>
      </c>
      <c r="N104" s="34">
        <f>INPUTS!AG104</f>
        <v>1345.0327999999981</v>
      </c>
    </row>
    <row r="105" spans="1:14" hidden="1" x14ac:dyDescent="0.25">
      <c r="A105" s="5" t="str">
        <f>INPUTS!B105</f>
        <v>Māngere</v>
      </c>
      <c r="B105" s="5" t="str">
        <f>INPUTS!C105</f>
        <v>Robertson Rd</v>
      </c>
      <c r="C105" s="6">
        <f>INPUTS!E105</f>
        <v>1.7</v>
      </c>
      <c r="D105" s="6">
        <f>INPUTS!R105</f>
        <v>13</v>
      </c>
      <c r="E105" s="6">
        <f>INPUTS!V105</f>
        <v>46.32</v>
      </c>
      <c r="F105" s="6">
        <f>INPUTS!W105</f>
        <v>100</v>
      </c>
      <c r="G105" s="33">
        <f>INPUTS!Z105</f>
        <v>3.4</v>
      </c>
      <c r="H105" s="33">
        <f>INPUTS!AA105</f>
        <v>0</v>
      </c>
      <c r="I105" s="33">
        <f>INPUTS!AB105</f>
        <v>1.02</v>
      </c>
      <c r="J105" s="33">
        <f>INPUTS!AC105</f>
        <v>0</v>
      </c>
      <c r="K105" s="33">
        <f>INPUTS!AD105</f>
        <v>1.02</v>
      </c>
      <c r="L105" s="33">
        <f>INPUTS!AE105</f>
        <v>0</v>
      </c>
      <c r="M105" s="33">
        <f>INPUTS!AF105</f>
        <v>0.38080000000000003</v>
      </c>
      <c r="N105" s="34">
        <f>INPUTS!AG105</f>
        <v>1350.8535999999981</v>
      </c>
    </row>
    <row r="106" spans="1:14" hidden="1" x14ac:dyDescent="0.25">
      <c r="A106" s="5" t="str">
        <f>INPUTS!B106</f>
        <v>Māngere</v>
      </c>
      <c r="B106" s="5" t="str">
        <f>INPUTS!C106</f>
        <v>Savill Drive</v>
      </c>
      <c r="C106" s="6">
        <f>INPUTS!E106</f>
        <v>1.7</v>
      </c>
      <c r="D106" s="6">
        <f>INPUTS!R106</f>
        <v>11</v>
      </c>
      <c r="E106" s="6">
        <f>INPUTS!V106</f>
        <v>60.819999999999993</v>
      </c>
      <c r="F106" s="6">
        <f>INPUTS!W106</f>
        <v>100</v>
      </c>
      <c r="G106" s="33">
        <f>INPUTS!Z106</f>
        <v>3.4</v>
      </c>
      <c r="H106" s="33">
        <f>INPUTS!AA106</f>
        <v>0</v>
      </c>
      <c r="I106" s="33">
        <f>INPUTS!AB106</f>
        <v>1.02</v>
      </c>
      <c r="J106" s="33">
        <f>INPUTS!AC106</f>
        <v>0</v>
      </c>
      <c r="K106" s="33">
        <f>INPUTS!AD106</f>
        <v>1.02</v>
      </c>
      <c r="L106" s="33">
        <f>INPUTS!AE106</f>
        <v>0</v>
      </c>
      <c r="M106" s="33">
        <f>INPUTS!AF106</f>
        <v>0.38080000000000003</v>
      </c>
      <c r="N106" s="34">
        <f>INPUTS!AG106</f>
        <v>1356.6743999999981</v>
      </c>
    </row>
    <row r="107" spans="1:14" hidden="1" x14ac:dyDescent="0.25">
      <c r="A107" s="5" t="str">
        <f>INPUTS!B107</f>
        <v>Papatoetoe</v>
      </c>
      <c r="B107" s="5" t="str">
        <f>INPUTS!C107</f>
        <v>Hospital Rd; Swaffield Rd; Coronation Rd</v>
      </c>
      <c r="C107" s="6">
        <f>INPUTS!E107</f>
        <v>2.5</v>
      </c>
      <c r="D107" s="6">
        <f>INPUTS!R107</f>
        <v>12</v>
      </c>
      <c r="E107" s="6">
        <f>INPUTS!V107</f>
        <v>85.1</v>
      </c>
      <c r="F107" s="6">
        <f>INPUTS!W107</f>
        <v>100</v>
      </c>
      <c r="G107" s="33">
        <f>INPUTS!Z107</f>
        <v>5</v>
      </c>
      <c r="H107" s="33">
        <f>INPUTS!AA107</f>
        <v>0</v>
      </c>
      <c r="I107" s="33">
        <f>INPUTS!AB107</f>
        <v>1.5</v>
      </c>
      <c r="J107" s="33">
        <f>INPUTS!AC107</f>
        <v>0</v>
      </c>
      <c r="K107" s="33">
        <f>INPUTS!AD107</f>
        <v>1.5</v>
      </c>
      <c r="L107" s="33">
        <f>INPUTS!AE107</f>
        <v>0</v>
      </c>
      <c r="M107" s="33">
        <f>INPUTS!AF107</f>
        <v>0.56000000000000005</v>
      </c>
      <c r="N107" s="34">
        <f>INPUTS!AG107</f>
        <v>1365.234399999998</v>
      </c>
    </row>
    <row r="108" spans="1:14" hidden="1" x14ac:dyDescent="0.25">
      <c r="A108" s="5" t="str">
        <f>INPUTS!B108</f>
        <v>Papatoetoe</v>
      </c>
      <c r="B108" s="5" t="str">
        <f>INPUTS!C108</f>
        <v>Portage Road (west)</v>
      </c>
      <c r="C108" s="6">
        <f>INPUTS!E108</f>
        <v>1.1000000000000001</v>
      </c>
      <c r="D108" s="6">
        <f>INPUTS!R108</f>
        <v>14</v>
      </c>
      <c r="E108" s="6">
        <f>INPUTS!V108</f>
        <v>85.1</v>
      </c>
      <c r="F108" s="6">
        <f>INPUTS!W108</f>
        <v>100</v>
      </c>
      <c r="G108" s="33">
        <f>INPUTS!Z108</f>
        <v>2.2000000000000002</v>
      </c>
      <c r="H108" s="33">
        <f>INPUTS!AA108</f>
        <v>0</v>
      </c>
      <c r="I108" s="33">
        <f>INPUTS!AB108</f>
        <v>0.66</v>
      </c>
      <c r="J108" s="33">
        <f>INPUTS!AC108</f>
        <v>0</v>
      </c>
      <c r="K108" s="33">
        <f>INPUTS!AD108</f>
        <v>0.66</v>
      </c>
      <c r="L108" s="33">
        <f>INPUTS!AE108</f>
        <v>0</v>
      </c>
      <c r="M108" s="33">
        <f>INPUTS!AF108</f>
        <v>0.24640000000000006</v>
      </c>
      <c r="N108" s="34">
        <f>INPUTS!AG108</f>
        <v>1369.000799999998</v>
      </c>
    </row>
    <row r="109" spans="1:14" hidden="1" x14ac:dyDescent="0.25">
      <c r="A109" s="5" t="str">
        <f>INPUTS!B109</f>
        <v>Papatoetoe</v>
      </c>
      <c r="B109" s="5" t="str">
        <f>INPUTS!C109</f>
        <v>Claude Avenue; Ferndown Avenue; Pah Rd</v>
      </c>
      <c r="C109" s="6">
        <f>INPUTS!E109</f>
        <v>1.8</v>
      </c>
      <c r="D109" s="6">
        <f>INPUTS!R109</f>
        <v>11</v>
      </c>
      <c r="E109" s="6">
        <f>INPUTS!V109</f>
        <v>85.100000000000009</v>
      </c>
      <c r="F109" s="6">
        <f>INPUTS!W109</f>
        <v>100</v>
      </c>
      <c r="G109" s="33">
        <f>INPUTS!Z109</f>
        <v>3.6</v>
      </c>
      <c r="H109" s="33">
        <f>INPUTS!AA109</f>
        <v>0</v>
      </c>
      <c r="I109" s="33">
        <f>INPUTS!AB109</f>
        <v>1.08</v>
      </c>
      <c r="J109" s="33">
        <f>INPUTS!AC109</f>
        <v>0</v>
      </c>
      <c r="K109" s="33">
        <f>INPUTS!AD109</f>
        <v>1.08</v>
      </c>
      <c r="L109" s="33">
        <f>INPUTS!AE109</f>
        <v>0</v>
      </c>
      <c r="M109" s="33">
        <f>INPUTS!AF109</f>
        <v>0.4032</v>
      </c>
      <c r="N109" s="34">
        <f>INPUTS!AG109</f>
        <v>1375.1639999999979</v>
      </c>
    </row>
    <row r="110" spans="1:14" hidden="1" x14ac:dyDescent="0.25">
      <c r="A110" s="5" t="str">
        <f>INPUTS!B110</f>
        <v>Papatoetoe</v>
      </c>
      <c r="B110" s="5" t="str">
        <f>INPUTS!C110</f>
        <v>Tavern Lane; Cambridge Terrace</v>
      </c>
      <c r="C110" s="6">
        <f>INPUTS!E110</f>
        <v>1.2</v>
      </c>
      <c r="D110" s="6">
        <f>INPUTS!R110</f>
        <v>14</v>
      </c>
      <c r="E110" s="6">
        <f>INPUTS!V110</f>
        <v>101.1</v>
      </c>
      <c r="F110" s="6">
        <f>INPUTS!W110</f>
        <v>100</v>
      </c>
      <c r="G110" s="33">
        <f>INPUTS!Z110</f>
        <v>2.4</v>
      </c>
      <c r="H110" s="33">
        <f>INPUTS!AA110</f>
        <v>0</v>
      </c>
      <c r="I110" s="33">
        <f>INPUTS!AB110</f>
        <v>0.72</v>
      </c>
      <c r="J110" s="33">
        <f>INPUTS!AC110</f>
        <v>0</v>
      </c>
      <c r="K110" s="33">
        <f>INPUTS!AD110</f>
        <v>0.72</v>
      </c>
      <c r="L110" s="33">
        <f>INPUTS!AE110</f>
        <v>0</v>
      </c>
      <c r="M110" s="33">
        <f>INPUTS!AF110</f>
        <v>0.26880000000000004</v>
      </c>
      <c r="N110" s="34">
        <f>INPUTS!AG110</f>
        <v>1379.2727999999979</v>
      </c>
    </row>
    <row r="111" spans="1:14" x14ac:dyDescent="0.25">
      <c r="A111" s="5" t="str">
        <f>INPUTS!B111</f>
        <v xml:space="preserve">Manukau </v>
      </c>
      <c r="B111" s="5" t="str">
        <f>INPUTS!C111</f>
        <v>SH20 missing link</v>
      </c>
      <c r="C111" s="6">
        <f>INPUTS!E111</f>
        <v>3</v>
      </c>
      <c r="D111" s="6">
        <f>INPUTS!R111</f>
        <v>13</v>
      </c>
      <c r="E111" s="6">
        <f>INPUTS!V111</f>
        <v>18.130000000000003</v>
      </c>
      <c r="F111" s="6">
        <f>INPUTS!W111</f>
        <v>100</v>
      </c>
      <c r="G111" s="33">
        <f>INPUTS!Z111</f>
        <v>60</v>
      </c>
      <c r="H111" s="33">
        <f>INPUTS!AA111</f>
        <v>0</v>
      </c>
      <c r="I111" s="33">
        <f>INPUTS!AB111</f>
        <v>18</v>
      </c>
      <c r="J111" s="33">
        <f>INPUTS!AC111</f>
        <v>0</v>
      </c>
      <c r="K111" s="33">
        <f>INPUTS!AD111</f>
        <v>18</v>
      </c>
      <c r="L111" s="33">
        <f>INPUTS!AE111</f>
        <v>0</v>
      </c>
      <c r="M111" s="33">
        <f>INPUTS!AF111</f>
        <v>6.7200000000000006</v>
      </c>
      <c r="N111" s="34">
        <f>INPUTS!AG111</f>
        <v>1481.9927999999979</v>
      </c>
    </row>
    <row r="112" spans="1:14" x14ac:dyDescent="0.25">
      <c r="A112" s="5" t="str">
        <f>INPUTS!B112</f>
        <v xml:space="preserve">Manukau </v>
      </c>
      <c r="B112" s="5" t="str">
        <f>INPUTS!C112</f>
        <v>Manukau Station Rd; Redoubt Rd (west)</v>
      </c>
      <c r="C112" s="6">
        <f>INPUTS!E112</f>
        <v>1.5</v>
      </c>
      <c r="D112" s="6">
        <f>INPUTS!R112</f>
        <v>14</v>
      </c>
      <c r="E112" s="6">
        <f>INPUTS!V112</f>
        <v>36.060000000000009</v>
      </c>
      <c r="F112" s="6">
        <f>INPUTS!W112</f>
        <v>100</v>
      </c>
      <c r="G112" s="33">
        <f>INPUTS!Z112</f>
        <v>15</v>
      </c>
      <c r="H112" s="33">
        <f>INPUTS!AA112</f>
        <v>0</v>
      </c>
      <c r="I112" s="33">
        <f>INPUTS!AB112</f>
        <v>4.5</v>
      </c>
      <c r="J112" s="33">
        <f>INPUTS!AC112</f>
        <v>0</v>
      </c>
      <c r="K112" s="33">
        <f>INPUTS!AD112</f>
        <v>4.5</v>
      </c>
      <c r="L112" s="33">
        <f>INPUTS!AE112</f>
        <v>0</v>
      </c>
      <c r="M112" s="33">
        <f>INPUTS!AF112</f>
        <v>1.6800000000000002</v>
      </c>
      <c r="N112" s="34">
        <f>INPUTS!AG112</f>
        <v>1507.672799999998</v>
      </c>
    </row>
    <row r="113" spans="1:14" x14ac:dyDescent="0.25">
      <c r="A113" s="5" t="str">
        <f>INPUTS!B113</f>
        <v xml:space="preserve">Manukau </v>
      </c>
      <c r="B113" s="5" t="str">
        <f>INPUTS!C113</f>
        <v>Redoubt Rd (east)</v>
      </c>
      <c r="C113" s="6">
        <f>INPUTS!E113</f>
        <v>1.5</v>
      </c>
      <c r="D113" s="6">
        <f>INPUTS!R113</f>
        <v>10</v>
      </c>
      <c r="E113" s="6">
        <f>INPUTS!V113</f>
        <v>136.30000000000001</v>
      </c>
      <c r="F113" s="6">
        <f>INPUTS!W113</f>
        <v>100</v>
      </c>
      <c r="G113" s="33">
        <f>INPUTS!Z113</f>
        <v>3</v>
      </c>
      <c r="H113" s="33">
        <f>INPUTS!AA113</f>
        <v>0</v>
      </c>
      <c r="I113" s="33">
        <f>INPUTS!AB113</f>
        <v>0.89999999999999991</v>
      </c>
      <c r="J113" s="33">
        <f>INPUTS!AC113</f>
        <v>0</v>
      </c>
      <c r="K113" s="33">
        <f>INPUTS!AD113</f>
        <v>0.89999999999999991</v>
      </c>
      <c r="L113" s="33">
        <f>INPUTS!AE113</f>
        <v>0</v>
      </c>
      <c r="M113" s="33">
        <f>INPUTS!AF113</f>
        <v>0.33600000000000002</v>
      </c>
      <c r="N113" s="34">
        <f>INPUTS!AG113</f>
        <v>1512.808799999998</v>
      </c>
    </row>
    <row r="114" spans="1:14" x14ac:dyDescent="0.25">
      <c r="A114" s="5" t="str">
        <f>INPUTS!B114</f>
        <v xml:space="preserve">Manukau </v>
      </c>
      <c r="B114" s="5" t="str">
        <f>INPUTS!C114</f>
        <v>Hollyford Dr</v>
      </c>
      <c r="C114" s="6">
        <f>INPUTS!E114</f>
        <v>0.8</v>
      </c>
      <c r="D114" s="6">
        <f>INPUTS!R114</f>
        <v>15</v>
      </c>
      <c r="E114" s="6">
        <f>INPUTS!V114</f>
        <v>88.12</v>
      </c>
      <c r="F114" s="6">
        <f>INPUTS!W114</f>
        <v>100</v>
      </c>
      <c r="G114" s="33">
        <f>INPUTS!Z114</f>
        <v>4</v>
      </c>
      <c r="H114" s="33">
        <f>INPUTS!AA114</f>
        <v>0</v>
      </c>
      <c r="I114" s="33">
        <f>INPUTS!AB114</f>
        <v>1.2</v>
      </c>
      <c r="J114" s="33">
        <f>INPUTS!AC114</f>
        <v>0</v>
      </c>
      <c r="K114" s="33">
        <f>INPUTS!AD114</f>
        <v>1.2</v>
      </c>
      <c r="L114" s="33">
        <f>INPUTS!AE114</f>
        <v>0</v>
      </c>
      <c r="M114" s="33">
        <f>INPUTS!AF114</f>
        <v>0.44800000000000006</v>
      </c>
      <c r="N114" s="34">
        <f>INPUTS!AG114</f>
        <v>1519.6567999999979</v>
      </c>
    </row>
    <row r="115" spans="1:14" hidden="1" x14ac:dyDescent="0.25">
      <c r="A115" s="5" t="str">
        <f>INPUTS!B115</f>
        <v>Manurewa</v>
      </c>
      <c r="B115" s="5" t="str">
        <f>INPUTS!C115</f>
        <v>Maru Rd; Station Rd; Airfield Rd</v>
      </c>
      <c r="C115" s="6">
        <f>INPUTS!E115</f>
        <v>1.4</v>
      </c>
      <c r="D115" s="6">
        <f>INPUTS!R115</f>
        <v>13</v>
      </c>
      <c r="E115" s="6">
        <f>INPUTS!V115</f>
        <v>122.80000000000003</v>
      </c>
      <c r="F115" s="6">
        <f>INPUTS!W115</f>
        <v>100</v>
      </c>
      <c r="G115" s="33">
        <f>INPUTS!Z115</f>
        <v>2.8</v>
      </c>
      <c r="H115" s="33">
        <f>INPUTS!AA115</f>
        <v>0</v>
      </c>
      <c r="I115" s="33">
        <f>INPUTS!AB115</f>
        <v>0.84</v>
      </c>
      <c r="J115" s="33">
        <f>INPUTS!AC115</f>
        <v>0</v>
      </c>
      <c r="K115" s="33">
        <f>INPUTS!AD115</f>
        <v>0.84</v>
      </c>
      <c r="L115" s="33">
        <f>INPUTS!AE115</f>
        <v>0</v>
      </c>
      <c r="M115" s="33">
        <f>INPUTS!AF115</f>
        <v>0.31359999999999999</v>
      </c>
      <c r="N115" s="34">
        <f>INPUTS!AG115</f>
        <v>1524.4503999999979</v>
      </c>
    </row>
    <row r="116" spans="1:14" hidden="1" x14ac:dyDescent="0.25">
      <c r="A116" s="5" t="str">
        <f>INPUTS!B116</f>
        <v>Papakura</v>
      </c>
      <c r="B116" s="5" t="str">
        <f>INPUTS!C116</f>
        <v>Hunua Road</v>
      </c>
      <c r="C116" s="6">
        <f>INPUTS!E116</f>
        <v>2.5</v>
      </c>
      <c r="D116" s="6">
        <f>INPUTS!R116</f>
        <v>9</v>
      </c>
      <c r="E116" s="6">
        <f>INPUTS!V116</f>
        <v>95.675000000000011</v>
      </c>
      <c r="F116" s="6">
        <f>INPUTS!W116</f>
        <v>100</v>
      </c>
      <c r="G116" s="33">
        <f>INPUTS!Z116</f>
        <v>5</v>
      </c>
      <c r="H116" s="33">
        <f>INPUTS!AA116</f>
        <v>0</v>
      </c>
      <c r="I116" s="33">
        <f>INPUTS!AB116</f>
        <v>1.5</v>
      </c>
      <c r="J116" s="33">
        <f>INPUTS!AC116</f>
        <v>0</v>
      </c>
      <c r="K116" s="33">
        <f>INPUTS!AD116</f>
        <v>1.5</v>
      </c>
      <c r="L116" s="33">
        <f>INPUTS!AE116</f>
        <v>0</v>
      </c>
      <c r="M116" s="33">
        <f>INPUTS!AF116</f>
        <v>0.56000000000000005</v>
      </c>
      <c r="N116" s="34">
        <f>INPUTS!AG116</f>
        <v>1533.0103999999978</v>
      </c>
    </row>
    <row r="117" spans="1:14" hidden="1" x14ac:dyDescent="0.25">
      <c r="A117" s="5" t="str">
        <f>INPUTS!B117</f>
        <v>Papakura</v>
      </c>
      <c r="B117" s="5" t="str">
        <f>INPUTS!C117</f>
        <v>Opaheke Road; Ponga Rd</v>
      </c>
      <c r="C117" s="6">
        <f>INPUTS!E117</f>
        <v>3.1</v>
      </c>
      <c r="D117" s="6">
        <f>INPUTS!R117</f>
        <v>11</v>
      </c>
      <c r="E117" s="6">
        <f>INPUTS!V117</f>
        <v>69.675000000000011</v>
      </c>
      <c r="F117" s="6">
        <f>INPUTS!W117</f>
        <v>100</v>
      </c>
      <c r="G117" s="33">
        <f>INPUTS!Z117</f>
        <v>6.2</v>
      </c>
      <c r="H117" s="33">
        <f>INPUTS!AA117</f>
        <v>0</v>
      </c>
      <c r="I117" s="33">
        <f>INPUTS!AB117</f>
        <v>1.8599999999999999</v>
      </c>
      <c r="J117" s="33">
        <f>INPUTS!AC117</f>
        <v>0</v>
      </c>
      <c r="K117" s="33">
        <f>INPUTS!AD117</f>
        <v>1.8599999999999999</v>
      </c>
      <c r="L117" s="33">
        <f>INPUTS!AE117</f>
        <v>0</v>
      </c>
      <c r="M117" s="33">
        <f>INPUTS!AF117</f>
        <v>0.69440000000000002</v>
      </c>
      <c r="N117" s="34">
        <f>INPUTS!AG117</f>
        <v>1543.6247999999978</v>
      </c>
    </row>
    <row r="118" spans="1:14" hidden="1" x14ac:dyDescent="0.25">
      <c r="A118" s="5" t="str">
        <f>INPUTS!B118</f>
        <v>Papakura</v>
      </c>
      <c r="B118" s="5" t="str">
        <f>INPUTS!C118</f>
        <v>Great South Road (sth of Beach Rd)</v>
      </c>
      <c r="C118" s="6">
        <f>INPUTS!E118</f>
        <v>3.8</v>
      </c>
      <c r="D118" s="6">
        <f>INPUTS!R118</f>
        <v>12</v>
      </c>
      <c r="E118" s="6">
        <f>INPUTS!V118</f>
        <v>72.47</v>
      </c>
      <c r="F118" s="6">
        <f>INPUTS!W118</f>
        <v>100</v>
      </c>
      <c r="G118" s="33">
        <f>INPUTS!Z118</f>
        <v>19</v>
      </c>
      <c r="H118" s="33">
        <f>INPUTS!AA118</f>
        <v>0</v>
      </c>
      <c r="I118" s="33">
        <f>INPUTS!AB118</f>
        <v>5.7</v>
      </c>
      <c r="J118" s="33">
        <f>INPUTS!AC118</f>
        <v>0</v>
      </c>
      <c r="K118" s="33">
        <f>INPUTS!AD118</f>
        <v>5.7</v>
      </c>
      <c r="L118" s="33">
        <f>INPUTS!AE118</f>
        <v>0</v>
      </c>
      <c r="M118" s="33">
        <f>INPUTS!AF118</f>
        <v>2.1280000000000001</v>
      </c>
      <c r="N118" s="34">
        <f>INPUTS!AG118</f>
        <v>1576.1527999999978</v>
      </c>
    </row>
    <row r="119" spans="1:14" hidden="1" x14ac:dyDescent="0.25">
      <c r="A119" s="5" t="str">
        <f>INPUTS!B119</f>
        <v>Warkworth</v>
      </c>
      <c r="B119" s="5" t="str">
        <f>INPUTS!C119</f>
        <v>Matakana Rd</v>
      </c>
      <c r="C119" s="6">
        <f>INPUTS!E119</f>
        <v>1.2</v>
      </c>
      <c r="D119" s="6">
        <f>INPUTS!R119</f>
        <v>9</v>
      </c>
      <c r="E119" s="6">
        <f>INPUTS!V119</f>
        <v>4</v>
      </c>
      <c r="F119" s="6">
        <f>INPUTS!W119</f>
        <v>150</v>
      </c>
      <c r="G119" s="33">
        <f>INPUTS!Z119</f>
        <v>6</v>
      </c>
      <c r="H119" s="33">
        <f>INPUTS!AA119</f>
        <v>0</v>
      </c>
      <c r="I119" s="33">
        <f>INPUTS!AB119</f>
        <v>1.7999999999999998</v>
      </c>
      <c r="J119" s="33">
        <f>INPUTS!AC119</f>
        <v>0</v>
      </c>
      <c r="K119" s="33">
        <f>INPUTS!AD119</f>
        <v>1.7999999999999998</v>
      </c>
      <c r="L119" s="33">
        <f>INPUTS!AE119</f>
        <v>0</v>
      </c>
      <c r="M119" s="33">
        <f>INPUTS!AF119</f>
        <v>0.67200000000000004</v>
      </c>
      <c r="N119" s="34">
        <f>INPUTS!AG119</f>
        <v>1586.4247999999977</v>
      </c>
    </row>
    <row r="120" spans="1:14" hidden="1" x14ac:dyDescent="0.25">
      <c r="A120" s="5" t="str">
        <f>INPUTS!B120</f>
        <v>Warkworth</v>
      </c>
      <c r="B120" s="5" t="str">
        <f>INPUTS!C120</f>
        <v>Great North Rd</v>
      </c>
      <c r="C120" s="6">
        <f>INPUTS!E120</f>
        <v>0.3</v>
      </c>
      <c r="D120" s="6">
        <f>INPUTS!R120</f>
        <v>8</v>
      </c>
      <c r="E120" s="6">
        <f>INPUTS!V120</f>
        <v>1</v>
      </c>
      <c r="F120" s="6">
        <f>INPUTS!W120</f>
        <v>150</v>
      </c>
      <c r="G120" s="33">
        <f>INPUTS!Z120</f>
        <v>6</v>
      </c>
      <c r="H120" s="33">
        <f>INPUTS!AA120</f>
        <v>0</v>
      </c>
      <c r="I120" s="33">
        <f>INPUTS!AB120</f>
        <v>1.7999999999999998</v>
      </c>
      <c r="J120" s="33">
        <f>INPUTS!AC120</f>
        <v>0</v>
      </c>
      <c r="K120" s="33">
        <f>INPUTS!AD120</f>
        <v>1.7999999999999998</v>
      </c>
      <c r="L120" s="33">
        <f>INPUTS!AE120</f>
        <v>0</v>
      </c>
      <c r="M120" s="33">
        <f>INPUTS!AF120</f>
        <v>0.67200000000000004</v>
      </c>
      <c r="N120" s="34">
        <f>INPUTS!AG120</f>
        <v>1596.6967999999977</v>
      </c>
    </row>
    <row r="121" spans="1:14" hidden="1" x14ac:dyDescent="0.25">
      <c r="A121" s="5" t="str">
        <f>INPUTS!B121</f>
        <v>Warkworth</v>
      </c>
      <c r="B121" s="5" t="str">
        <f>INPUTS!C121</f>
        <v>Mansel Dr</v>
      </c>
      <c r="C121" s="6">
        <f>INPUTS!E121</f>
        <v>3.4</v>
      </c>
      <c r="D121" s="6">
        <f>INPUTS!R121</f>
        <v>9</v>
      </c>
      <c r="E121" s="6">
        <f>INPUTS!V121</f>
        <v>4</v>
      </c>
      <c r="F121" s="6">
        <f>INPUTS!W121</f>
        <v>150</v>
      </c>
      <c r="G121" s="33">
        <f>INPUTS!Z121</f>
        <v>17</v>
      </c>
      <c r="H121" s="33">
        <f>INPUTS!AA121</f>
        <v>0</v>
      </c>
      <c r="I121" s="33">
        <f>INPUTS!AB121</f>
        <v>5.0999999999999996</v>
      </c>
      <c r="J121" s="33">
        <f>INPUTS!AC121</f>
        <v>0</v>
      </c>
      <c r="K121" s="33">
        <f>INPUTS!AD121</f>
        <v>5.0999999999999996</v>
      </c>
      <c r="L121" s="33">
        <f>INPUTS!AE121</f>
        <v>0</v>
      </c>
      <c r="M121" s="33">
        <f>INPUTS!AF121</f>
        <v>1.9040000000000004</v>
      </c>
      <c r="N121" s="34">
        <f>INPUTS!AG121</f>
        <v>1625.8007999999977</v>
      </c>
    </row>
    <row r="122" spans="1:14" hidden="1" x14ac:dyDescent="0.25">
      <c r="A122" s="5" t="str">
        <f>INPUTS!B122</f>
        <v>Warkworth</v>
      </c>
      <c r="B122" s="5" t="str">
        <f>INPUTS!C122</f>
        <v>Elizabeth St; Queen St; Neville St; Alnwick St</v>
      </c>
      <c r="C122" s="6">
        <f>INPUTS!E122</f>
        <v>1.3</v>
      </c>
      <c r="D122" s="6">
        <f>INPUTS!R122</f>
        <v>7</v>
      </c>
      <c r="E122" s="6">
        <f>INPUTS!V122</f>
        <v>4</v>
      </c>
      <c r="F122" s="6">
        <f>INPUTS!W122</f>
        <v>150</v>
      </c>
      <c r="G122" s="33">
        <f>INPUTS!Z122</f>
        <v>6.5</v>
      </c>
      <c r="H122" s="33">
        <f>INPUTS!AA122</f>
        <v>0</v>
      </c>
      <c r="I122" s="33">
        <f>INPUTS!AB122</f>
        <v>1.95</v>
      </c>
      <c r="J122" s="33">
        <f>INPUTS!AC122</f>
        <v>0</v>
      </c>
      <c r="K122" s="33">
        <f>INPUTS!AD122</f>
        <v>1.95</v>
      </c>
      <c r="L122" s="33">
        <f>INPUTS!AE122</f>
        <v>0</v>
      </c>
      <c r="M122" s="33">
        <f>INPUTS!AF122</f>
        <v>0.72799999999999998</v>
      </c>
      <c r="N122" s="34">
        <f>INPUTS!AG122</f>
        <v>1636.9287999999976</v>
      </c>
    </row>
    <row r="123" spans="1:14" hidden="1" x14ac:dyDescent="0.25">
      <c r="A123" s="5" t="str">
        <f>INPUTS!B123</f>
        <v>Warkworth</v>
      </c>
      <c r="B123" s="5" t="str">
        <f>INPUTS!C123</f>
        <v>Alnwick St; Pulham Rd; John Andrew Dr; McKinney Rd</v>
      </c>
      <c r="C123" s="6">
        <f>INPUTS!E123</f>
        <v>2.5</v>
      </c>
      <c r="D123" s="6">
        <f>INPUTS!R123</f>
        <v>7</v>
      </c>
      <c r="E123" s="6">
        <f>INPUTS!V123</f>
        <v>10</v>
      </c>
      <c r="F123" s="6">
        <f>INPUTS!W123</f>
        <v>150</v>
      </c>
      <c r="G123" s="33">
        <f>INPUTS!Z123</f>
        <v>5</v>
      </c>
      <c r="H123" s="33">
        <f>INPUTS!AA123</f>
        <v>0</v>
      </c>
      <c r="I123" s="33">
        <f>INPUTS!AB123</f>
        <v>1.5</v>
      </c>
      <c r="J123" s="33">
        <f>INPUTS!AC123</f>
        <v>0</v>
      </c>
      <c r="K123" s="33">
        <f>INPUTS!AD123</f>
        <v>1.5</v>
      </c>
      <c r="L123" s="33">
        <f>INPUTS!AE123</f>
        <v>0</v>
      </c>
      <c r="M123" s="33">
        <f>INPUTS!AF123</f>
        <v>0.56000000000000005</v>
      </c>
      <c r="N123" s="34">
        <f>INPUTS!AG123</f>
        <v>1645.4887999999976</v>
      </c>
    </row>
    <row r="124" spans="1:14" hidden="1" x14ac:dyDescent="0.25">
      <c r="A124" s="5" t="str">
        <f>INPUTS!B124</f>
        <v>Warkworth</v>
      </c>
      <c r="B124" s="5" t="str">
        <f>INPUTS!C124</f>
        <v>Whitaker Rd</v>
      </c>
      <c r="C124" s="6">
        <f>INPUTS!E124</f>
        <v>0.6</v>
      </c>
      <c r="D124" s="6">
        <f>INPUTS!R124</f>
        <v>14</v>
      </c>
      <c r="E124" s="6">
        <f>INPUTS!V124</f>
        <v>10</v>
      </c>
      <c r="F124" s="6">
        <f>INPUTS!W124</f>
        <v>150</v>
      </c>
      <c r="G124" s="33">
        <f>INPUTS!Z124</f>
        <v>1.2</v>
      </c>
      <c r="H124" s="33">
        <f>INPUTS!AA124</f>
        <v>0</v>
      </c>
      <c r="I124" s="33">
        <f>INPUTS!AB124</f>
        <v>0.36</v>
      </c>
      <c r="J124" s="33">
        <f>INPUTS!AC124</f>
        <v>0</v>
      </c>
      <c r="K124" s="33">
        <f>INPUTS!AD124</f>
        <v>0.36</v>
      </c>
      <c r="L124" s="33">
        <f>INPUTS!AE124</f>
        <v>0</v>
      </c>
      <c r="M124" s="33">
        <f>INPUTS!AF124</f>
        <v>0.13440000000000002</v>
      </c>
      <c r="N124" s="34">
        <f>INPUTS!AG124</f>
        <v>1647.5431999999976</v>
      </c>
    </row>
    <row r="125" spans="1:14" hidden="1" x14ac:dyDescent="0.25">
      <c r="A125" s="5" t="str">
        <f>INPUTS!B125</f>
        <v>Warkworth</v>
      </c>
      <c r="B125" s="5" t="str">
        <f>INPUTS!C125</f>
        <v>Brown Rd</v>
      </c>
      <c r="C125" s="6">
        <f>INPUTS!E125</f>
        <v>0.3</v>
      </c>
      <c r="D125" s="6">
        <f>INPUTS!R125</f>
        <v>9</v>
      </c>
      <c r="E125" s="6">
        <f>INPUTS!V125</f>
        <v>1</v>
      </c>
      <c r="F125" s="6">
        <f>INPUTS!W125</f>
        <v>150</v>
      </c>
      <c r="G125" s="33">
        <f>INPUTS!Z125</f>
        <v>6</v>
      </c>
      <c r="H125" s="33">
        <f>INPUTS!AA125</f>
        <v>0</v>
      </c>
      <c r="I125" s="33">
        <f>INPUTS!AB125</f>
        <v>1.7999999999999998</v>
      </c>
      <c r="J125" s="33">
        <f>INPUTS!AC125</f>
        <v>0</v>
      </c>
      <c r="K125" s="33">
        <f>INPUTS!AD125</f>
        <v>1.7999999999999998</v>
      </c>
      <c r="L125" s="33">
        <f>INPUTS!AE125</f>
        <v>0</v>
      </c>
      <c r="M125" s="33">
        <f>INPUTS!AF125</f>
        <v>0.67200000000000004</v>
      </c>
      <c r="N125" s="34">
        <f>INPUTS!AG125</f>
        <v>1657.8151999999975</v>
      </c>
    </row>
    <row r="126" spans="1:14" hidden="1" x14ac:dyDescent="0.25">
      <c r="A126" s="5" t="str">
        <f>INPUTS!B126</f>
        <v>Warkworth</v>
      </c>
      <c r="B126" s="5" t="str">
        <f>INPUTS!C126</f>
        <v xml:space="preserve">Auckland Rd </v>
      </c>
      <c r="C126" s="6">
        <f>INPUTS!E126</f>
        <v>1.4</v>
      </c>
      <c r="D126" s="6">
        <f>INPUTS!R126</f>
        <v>12</v>
      </c>
      <c r="E126" s="6">
        <f>INPUTS!V126</f>
        <v>1</v>
      </c>
      <c r="F126" s="6">
        <f>INPUTS!W126</f>
        <v>150</v>
      </c>
      <c r="G126" s="33">
        <f>INPUTS!Z126</f>
        <v>28</v>
      </c>
      <c r="H126" s="33">
        <f>INPUTS!AA126</f>
        <v>0</v>
      </c>
      <c r="I126" s="33">
        <f>INPUTS!AB126</f>
        <v>8.4</v>
      </c>
      <c r="J126" s="33">
        <f>INPUTS!AC126</f>
        <v>0</v>
      </c>
      <c r="K126" s="33">
        <f>INPUTS!AD126</f>
        <v>8.4</v>
      </c>
      <c r="L126" s="33">
        <f>INPUTS!AE126</f>
        <v>0</v>
      </c>
      <c r="M126" s="33">
        <f>INPUTS!AF126</f>
        <v>3.1360000000000001</v>
      </c>
      <c r="N126" s="34">
        <f>INPUTS!AG126</f>
        <v>1705.7511999999974</v>
      </c>
    </row>
    <row r="127" spans="1:14" hidden="1" x14ac:dyDescent="0.25">
      <c r="A127" s="5" t="str">
        <f>INPUTS!B127</f>
        <v>Warkworth</v>
      </c>
      <c r="B127" s="5" t="str">
        <f>INPUTS!C127</f>
        <v>Falls Rd; Hill St</v>
      </c>
      <c r="C127" s="6">
        <f>INPUTS!E127</f>
        <v>1.5</v>
      </c>
      <c r="D127" s="6">
        <f>INPUTS!R127</f>
        <v>10</v>
      </c>
      <c r="E127" s="6">
        <f>INPUTS!V127</f>
        <v>10</v>
      </c>
      <c r="F127" s="6">
        <f>INPUTS!W127</f>
        <v>150</v>
      </c>
      <c r="G127" s="33">
        <f>INPUTS!Z127</f>
        <v>3</v>
      </c>
      <c r="H127" s="33">
        <f>INPUTS!AA127</f>
        <v>0</v>
      </c>
      <c r="I127" s="33">
        <f>INPUTS!AB127</f>
        <v>0.89999999999999991</v>
      </c>
      <c r="J127" s="33">
        <f>INPUTS!AC127</f>
        <v>0</v>
      </c>
      <c r="K127" s="33">
        <f>INPUTS!AD127</f>
        <v>0.89999999999999991</v>
      </c>
      <c r="L127" s="33">
        <f>INPUTS!AE127</f>
        <v>0</v>
      </c>
      <c r="M127" s="33">
        <f>INPUTS!AF127</f>
        <v>0.33600000000000002</v>
      </c>
      <c r="N127" s="34">
        <f>INPUTS!AG127</f>
        <v>1710.8871999999974</v>
      </c>
    </row>
    <row r="128" spans="1:14" hidden="1" x14ac:dyDescent="0.25">
      <c r="A128" s="5" t="str">
        <f>INPUTS!B128</f>
        <v>Warkworth</v>
      </c>
      <c r="B128" s="5" t="str">
        <f>INPUTS!C128</f>
        <v>Evelyn St Extension</v>
      </c>
      <c r="C128" s="6">
        <f>INPUTS!E128</f>
        <v>1.3</v>
      </c>
      <c r="D128" s="6">
        <f>INPUTS!R128</f>
        <v>5</v>
      </c>
      <c r="E128" s="6">
        <f>INPUTS!V128</f>
        <v>4</v>
      </c>
      <c r="F128" s="6">
        <f>INPUTS!W128</f>
        <v>150</v>
      </c>
      <c r="G128" s="33">
        <f>INPUTS!Z128</f>
        <v>6.5</v>
      </c>
      <c r="H128" s="33">
        <f>INPUTS!AA128</f>
        <v>0</v>
      </c>
      <c r="I128" s="33">
        <f>INPUTS!AB128</f>
        <v>1.95</v>
      </c>
      <c r="J128" s="33">
        <f>INPUTS!AC128</f>
        <v>0</v>
      </c>
      <c r="K128" s="33">
        <f>INPUTS!AD128</f>
        <v>1.95</v>
      </c>
      <c r="L128" s="33">
        <f>INPUTS!AE128</f>
        <v>0</v>
      </c>
      <c r="M128" s="33">
        <f>INPUTS!AF128</f>
        <v>0.72799999999999998</v>
      </c>
      <c r="N128" s="34">
        <f>INPUTS!AG128</f>
        <v>1722.0151999999973</v>
      </c>
    </row>
    <row r="129" spans="1:14" hidden="1" x14ac:dyDescent="0.25">
      <c r="A129" s="5" t="str">
        <f>INPUTS!B129</f>
        <v>Warkworth</v>
      </c>
      <c r="B129" s="5" t="str">
        <f>INPUTS!C129</f>
        <v>Woodcocks Rd</v>
      </c>
      <c r="C129" s="6">
        <f>INPUTS!E129</f>
        <v>1</v>
      </c>
      <c r="D129" s="6">
        <f>INPUTS!R129</f>
        <v>15</v>
      </c>
      <c r="E129" s="6">
        <f>INPUTS!V129</f>
        <v>10</v>
      </c>
      <c r="F129" s="6">
        <f>INPUTS!W129</f>
        <v>150</v>
      </c>
      <c r="G129" s="33">
        <f>INPUTS!Z129</f>
        <v>2</v>
      </c>
      <c r="H129" s="33">
        <f>INPUTS!AA129</f>
        <v>0</v>
      </c>
      <c r="I129" s="33">
        <f>INPUTS!AB129</f>
        <v>0.6</v>
      </c>
      <c r="J129" s="33">
        <f>INPUTS!AC129</f>
        <v>0</v>
      </c>
      <c r="K129" s="33">
        <f>INPUTS!AD129</f>
        <v>0.6</v>
      </c>
      <c r="L129" s="33">
        <f>INPUTS!AE129</f>
        <v>0</v>
      </c>
      <c r="M129" s="33">
        <f>INPUTS!AF129</f>
        <v>0.22400000000000003</v>
      </c>
      <c r="N129" s="34">
        <f>INPUTS!AG129</f>
        <v>1725.4391999999973</v>
      </c>
    </row>
    <row r="130" spans="1:14" hidden="1" x14ac:dyDescent="0.25">
      <c r="A130" s="5" t="str">
        <f>INPUTS!B130</f>
        <v>Silverdale</v>
      </c>
      <c r="B130" s="5" t="str">
        <f>INPUTS!C130</f>
        <v>Wainui Rd</v>
      </c>
      <c r="C130" s="6">
        <f>INPUTS!E130</f>
        <v>2</v>
      </c>
      <c r="D130" s="6">
        <f>INPUTS!R130</f>
        <v>10</v>
      </c>
      <c r="E130" s="6">
        <f>INPUTS!V130</f>
        <v>21.3</v>
      </c>
      <c r="F130" s="6">
        <f>INPUTS!W130</f>
        <v>150</v>
      </c>
      <c r="G130" s="33">
        <f>INPUTS!Z130</f>
        <v>4</v>
      </c>
      <c r="H130" s="33">
        <f>INPUTS!AA130</f>
        <v>0</v>
      </c>
      <c r="I130" s="33">
        <f>INPUTS!AB130</f>
        <v>1.2</v>
      </c>
      <c r="J130" s="33">
        <f>INPUTS!AC130</f>
        <v>0</v>
      </c>
      <c r="K130" s="33">
        <f>INPUTS!AD130</f>
        <v>1.2</v>
      </c>
      <c r="L130" s="33">
        <f>INPUTS!AE130</f>
        <v>0</v>
      </c>
      <c r="M130" s="33">
        <f>INPUTS!AF130</f>
        <v>0.44800000000000006</v>
      </c>
      <c r="N130" s="34">
        <f>INPUTS!AG130</f>
        <v>1732.2871999999973</v>
      </c>
    </row>
    <row r="131" spans="1:14" hidden="1" x14ac:dyDescent="0.25">
      <c r="A131" s="5" t="str">
        <f>INPUTS!B131</f>
        <v>Silverdale</v>
      </c>
      <c r="B131" s="5" t="str">
        <f>INPUTS!C131</f>
        <v>Silverdale St</v>
      </c>
      <c r="C131" s="6">
        <f>INPUTS!E131</f>
        <v>0.8</v>
      </c>
      <c r="D131" s="6">
        <f>INPUTS!R131</f>
        <v>14</v>
      </c>
      <c r="E131" s="6">
        <f>INPUTS!V131</f>
        <v>21.3</v>
      </c>
      <c r="F131" s="6">
        <f>INPUTS!W131</f>
        <v>150</v>
      </c>
      <c r="G131" s="33">
        <f>INPUTS!Z131</f>
        <v>1.6</v>
      </c>
      <c r="H131" s="33">
        <f>INPUTS!AA131</f>
        <v>0</v>
      </c>
      <c r="I131" s="33">
        <f>INPUTS!AB131</f>
        <v>0.48</v>
      </c>
      <c r="J131" s="33">
        <f>INPUTS!AC131</f>
        <v>0</v>
      </c>
      <c r="K131" s="33">
        <f>INPUTS!AD131</f>
        <v>0.48</v>
      </c>
      <c r="L131" s="33">
        <f>INPUTS!AE131</f>
        <v>0</v>
      </c>
      <c r="M131" s="33">
        <f>INPUTS!AF131</f>
        <v>0.17920000000000003</v>
      </c>
      <c r="N131" s="34">
        <f>INPUTS!AG131</f>
        <v>1735.0263999999972</v>
      </c>
    </row>
    <row r="132" spans="1:14" hidden="1" x14ac:dyDescent="0.25">
      <c r="A132" s="5" t="str">
        <f>INPUTS!B132</f>
        <v>Silverdale</v>
      </c>
      <c r="B132" s="5" t="str">
        <f>INPUTS!C132</f>
        <v>Hibiscus Coast HW</v>
      </c>
      <c r="C132" s="6">
        <f>INPUTS!E132</f>
        <v>1</v>
      </c>
      <c r="D132" s="6">
        <f>INPUTS!R132</f>
        <v>12</v>
      </c>
      <c r="E132" s="6">
        <f>INPUTS!V132</f>
        <v>4.26</v>
      </c>
      <c r="F132" s="6">
        <f>INPUTS!W132</f>
        <v>150</v>
      </c>
      <c r="G132" s="33">
        <f>INPUTS!Z132</f>
        <v>10</v>
      </c>
      <c r="H132" s="33">
        <f>INPUTS!AA132</f>
        <v>0</v>
      </c>
      <c r="I132" s="33">
        <f>INPUTS!AB132</f>
        <v>3</v>
      </c>
      <c r="J132" s="33">
        <f>INPUTS!AC132</f>
        <v>0</v>
      </c>
      <c r="K132" s="33">
        <f>INPUTS!AD132</f>
        <v>3</v>
      </c>
      <c r="L132" s="33">
        <f>INPUTS!AE132</f>
        <v>0</v>
      </c>
      <c r="M132" s="33">
        <f>INPUTS!AF132</f>
        <v>1.1200000000000001</v>
      </c>
      <c r="N132" s="34">
        <f>INPUTS!AG132</f>
        <v>1752.1463999999971</v>
      </c>
    </row>
    <row r="133" spans="1:14" hidden="1" x14ac:dyDescent="0.25">
      <c r="A133" s="5" t="str">
        <f>INPUTS!B133</f>
        <v xml:space="preserve">Albany </v>
      </c>
      <c r="B133" s="5" t="str">
        <f>INPUTS!C133</f>
        <v>McClymonts Rd</v>
      </c>
      <c r="C133" s="6">
        <f>INPUTS!E133</f>
        <v>0.4</v>
      </c>
      <c r="D133" s="6">
        <f>INPUTS!R133</f>
        <v>10</v>
      </c>
      <c r="E133" s="6">
        <f>INPUTS!V133</f>
        <v>27.950000000000003</v>
      </c>
      <c r="F133" s="6">
        <f>INPUTS!W133</f>
        <v>150</v>
      </c>
      <c r="G133" s="33">
        <f>INPUTS!Z133</f>
        <v>4</v>
      </c>
      <c r="H133" s="33">
        <f>INPUTS!AA133</f>
        <v>0</v>
      </c>
      <c r="I133" s="33">
        <f>INPUTS!AB133</f>
        <v>1.2</v>
      </c>
      <c r="J133" s="33">
        <f>INPUTS!AC133</f>
        <v>0</v>
      </c>
      <c r="K133" s="33">
        <f>INPUTS!AD133</f>
        <v>1.2</v>
      </c>
      <c r="L133" s="33">
        <f>INPUTS!AE133</f>
        <v>0</v>
      </c>
      <c r="M133" s="33">
        <f>INPUTS!AF133</f>
        <v>0.44800000000000006</v>
      </c>
      <c r="N133" s="34">
        <f>INPUTS!AG133</f>
        <v>1758.9943999999971</v>
      </c>
    </row>
    <row r="134" spans="1:14" hidden="1" x14ac:dyDescent="0.25">
      <c r="A134" s="5" t="str">
        <f>INPUTS!B134</f>
        <v>Constellation</v>
      </c>
      <c r="B134" s="5" t="str">
        <f>INPUTS!C134</f>
        <v>Sunset Road</v>
      </c>
      <c r="C134" s="6">
        <f>INPUTS!E134</f>
        <v>1.8</v>
      </c>
      <c r="D134" s="6">
        <f>INPUTS!R134</f>
        <v>14</v>
      </c>
      <c r="E134" s="6">
        <f>INPUTS!V134</f>
        <v>34.050000000000004</v>
      </c>
      <c r="F134" s="6">
        <f>INPUTS!W134</f>
        <v>150</v>
      </c>
      <c r="G134" s="33">
        <f>INPUTS!Z134</f>
        <v>3.6</v>
      </c>
      <c r="H134" s="33">
        <f>INPUTS!AA134</f>
        <v>0</v>
      </c>
      <c r="I134" s="33">
        <f>INPUTS!AB134</f>
        <v>1.08</v>
      </c>
      <c r="J134" s="33">
        <f>INPUTS!AC134</f>
        <v>0</v>
      </c>
      <c r="K134" s="33">
        <f>INPUTS!AD134</f>
        <v>1.08</v>
      </c>
      <c r="L134" s="33">
        <f>INPUTS!AE134</f>
        <v>0</v>
      </c>
      <c r="M134" s="33">
        <f>INPUTS!AF134</f>
        <v>0.4032</v>
      </c>
      <c r="N134" s="34">
        <f>INPUTS!AG134</f>
        <v>1765.157599999997</v>
      </c>
    </row>
    <row r="135" spans="1:14" hidden="1" x14ac:dyDescent="0.25">
      <c r="A135" s="5" t="str">
        <f>INPUTS!B135</f>
        <v>Greenhithe</v>
      </c>
      <c r="B135" s="5" t="str">
        <f>INPUTS!C135</f>
        <v>Tauhinui Rd</v>
      </c>
      <c r="C135" s="6">
        <f>INPUTS!E135</f>
        <v>0.8</v>
      </c>
      <c r="D135" s="6">
        <f>INPUTS!R135</f>
        <v>12</v>
      </c>
      <c r="E135" s="6">
        <f>INPUTS!V135</f>
        <v>10</v>
      </c>
      <c r="F135" s="6">
        <f>INPUTS!W135</f>
        <v>150</v>
      </c>
      <c r="G135" s="33">
        <f>INPUTS!Z135</f>
        <v>1.6</v>
      </c>
      <c r="H135" s="33">
        <f>INPUTS!AA135</f>
        <v>0</v>
      </c>
      <c r="I135" s="33">
        <f>INPUTS!AB135</f>
        <v>0.48</v>
      </c>
      <c r="J135" s="33">
        <f>INPUTS!AC135</f>
        <v>0</v>
      </c>
      <c r="K135" s="33">
        <f>INPUTS!AD135</f>
        <v>0.48</v>
      </c>
      <c r="L135" s="33">
        <f>INPUTS!AE135</f>
        <v>0</v>
      </c>
      <c r="M135" s="33">
        <f>INPUTS!AF135</f>
        <v>0.17920000000000003</v>
      </c>
      <c r="N135" s="34">
        <f>INPUTS!AG135</f>
        <v>1767.896799999997</v>
      </c>
    </row>
    <row r="136" spans="1:14" hidden="1" x14ac:dyDescent="0.25">
      <c r="A136" s="5" t="str">
        <f>INPUTS!B136</f>
        <v>Smales Farm</v>
      </c>
      <c r="B136" s="5" t="str">
        <f>INPUTS!C136</f>
        <v>Porana Road</v>
      </c>
      <c r="C136" s="6">
        <f>INPUTS!E136</f>
        <v>1</v>
      </c>
      <c r="D136" s="6">
        <f>INPUTS!R136</f>
        <v>9</v>
      </c>
      <c r="E136" s="6">
        <f>INPUTS!V136</f>
        <v>61.1</v>
      </c>
      <c r="F136" s="6">
        <f>INPUTS!W136</f>
        <v>150</v>
      </c>
      <c r="G136" s="33">
        <f>INPUTS!Z136</f>
        <v>2</v>
      </c>
      <c r="H136" s="33">
        <f>INPUTS!AA136</f>
        <v>0</v>
      </c>
      <c r="I136" s="33">
        <f>INPUTS!AB136</f>
        <v>0.6</v>
      </c>
      <c r="J136" s="33">
        <f>INPUTS!AC136</f>
        <v>0</v>
      </c>
      <c r="K136" s="33">
        <f>INPUTS!AD136</f>
        <v>0.6</v>
      </c>
      <c r="L136" s="33">
        <f>INPUTS!AE136</f>
        <v>0</v>
      </c>
      <c r="M136" s="33">
        <f>INPUTS!AF136</f>
        <v>0.22400000000000003</v>
      </c>
      <c r="N136" s="34">
        <f>INPUTS!AG136</f>
        <v>1771.320799999997</v>
      </c>
    </row>
    <row r="137" spans="1:14" hidden="1" x14ac:dyDescent="0.25">
      <c r="A137" s="5" t="str">
        <f>INPUTS!B137</f>
        <v>Smales Farm</v>
      </c>
      <c r="B137" s="5" t="str">
        <f>INPUTS!C137</f>
        <v>Coronation Road</v>
      </c>
      <c r="C137" s="6">
        <f>INPUTS!E137</f>
        <v>1.8</v>
      </c>
      <c r="D137" s="6">
        <f>INPUTS!R137</f>
        <v>9</v>
      </c>
      <c r="E137" s="6">
        <f>INPUTS!V137</f>
        <v>61.1</v>
      </c>
      <c r="F137" s="6">
        <f>INPUTS!W137</f>
        <v>150</v>
      </c>
      <c r="G137" s="33">
        <f>INPUTS!Z137</f>
        <v>3.6</v>
      </c>
      <c r="H137" s="33">
        <f>INPUTS!AA137</f>
        <v>0</v>
      </c>
      <c r="I137" s="33">
        <f>INPUTS!AB137</f>
        <v>1.08</v>
      </c>
      <c r="J137" s="33">
        <f>INPUTS!AC137</f>
        <v>0</v>
      </c>
      <c r="K137" s="33">
        <f>INPUTS!AD137</f>
        <v>1.08</v>
      </c>
      <c r="L137" s="33">
        <f>INPUTS!AE137</f>
        <v>0</v>
      </c>
      <c r="M137" s="33">
        <f>INPUTS!AF137</f>
        <v>0.4032</v>
      </c>
      <c r="N137" s="34">
        <f>INPUTS!AG137</f>
        <v>1777.483999999997</v>
      </c>
    </row>
    <row r="138" spans="1:14" hidden="1" x14ac:dyDescent="0.25">
      <c r="A138" s="5" t="str">
        <f>INPUTS!B138</f>
        <v>Takapuna</v>
      </c>
      <c r="B138" s="5" t="str">
        <f>INPUTS!C138</f>
        <v>Shakespeare Rd extension</v>
      </c>
      <c r="C138" s="6">
        <f>INPUTS!E138</f>
        <v>0.5</v>
      </c>
      <c r="D138" s="6">
        <f>INPUTS!R138</f>
        <v>13</v>
      </c>
      <c r="E138" s="6">
        <f>INPUTS!V138</f>
        <v>176</v>
      </c>
      <c r="F138" s="6">
        <f>INPUTS!W138</f>
        <v>150</v>
      </c>
      <c r="G138" s="33">
        <f>INPUTS!Z138</f>
        <v>2.5</v>
      </c>
      <c r="H138" s="33">
        <f>INPUTS!AA138</f>
        <v>0</v>
      </c>
      <c r="I138" s="33">
        <f>INPUTS!AB138</f>
        <v>0.75</v>
      </c>
      <c r="J138" s="33">
        <f>INPUTS!AC138</f>
        <v>0</v>
      </c>
      <c r="K138" s="33">
        <f>INPUTS!AD138</f>
        <v>0.75</v>
      </c>
      <c r="L138" s="33">
        <f>INPUTS!AE138</f>
        <v>0</v>
      </c>
      <c r="M138" s="33">
        <f>INPUTS!AF138</f>
        <v>0.28000000000000003</v>
      </c>
      <c r="N138" s="34">
        <f>INPUTS!AG138</f>
        <v>1781.7639999999969</v>
      </c>
    </row>
    <row r="139" spans="1:14" hidden="1" x14ac:dyDescent="0.25">
      <c r="A139" s="5" t="str">
        <f>INPUTS!B139</f>
        <v>Westgate</v>
      </c>
      <c r="B139" s="5" t="str">
        <f>INPUTS!C139</f>
        <v>Spedding Rd</v>
      </c>
      <c r="C139" s="6">
        <f>INPUTS!E139</f>
        <v>3.8</v>
      </c>
      <c r="D139" s="6">
        <f>INPUTS!R139</f>
        <v>7</v>
      </c>
      <c r="E139" s="6">
        <f>INPUTS!V139</f>
        <v>38.199999999999996</v>
      </c>
      <c r="F139" s="6">
        <f>INPUTS!W139</f>
        <v>150</v>
      </c>
      <c r="G139" s="33">
        <f>INPUTS!Z139</f>
        <v>19</v>
      </c>
      <c r="H139" s="33">
        <f>INPUTS!AA139</f>
        <v>0</v>
      </c>
      <c r="I139" s="33">
        <f>INPUTS!AB139</f>
        <v>5.7</v>
      </c>
      <c r="J139" s="33">
        <f>INPUTS!AC139</f>
        <v>0</v>
      </c>
      <c r="K139" s="33">
        <f>INPUTS!AD139</f>
        <v>5.7</v>
      </c>
      <c r="L139" s="33">
        <f>INPUTS!AE139</f>
        <v>0</v>
      </c>
      <c r="M139" s="33">
        <f>INPUTS!AF139</f>
        <v>2.1280000000000001</v>
      </c>
      <c r="N139" s="34">
        <f>INPUTS!AG139</f>
        <v>1814.291999999997</v>
      </c>
    </row>
    <row r="140" spans="1:14" hidden="1" x14ac:dyDescent="0.25">
      <c r="A140" s="5" t="str">
        <f>INPUTS!B140</f>
        <v>Westgate</v>
      </c>
      <c r="B140" s="5" t="str">
        <f>INPUTS!C140</f>
        <v>Dunlop Rd (loop)</v>
      </c>
      <c r="C140" s="6">
        <f>INPUTS!E140</f>
        <v>4</v>
      </c>
      <c r="D140" s="6">
        <f>INPUTS!R140</f>
        <v>8</v>
      </c>
      <c r="E140" s="6">
        <f>INPUTS!V140</f>
        <v>4</v>
      </c>
      <c r="F140" s="6">
        <f>INPUTS!W140</f>
        <v>150</v>
      </c>
      <c r="G140" s="33">
        <f>INPUTS!Z140</f>
        <v>20</v>
      </c>
      <c r="H140" s="33">
        <f>INPUTS!AA140</f>
        <v>0</v>
      </c>
      <c r="I140" s="33">
        <f>INPUTS!AB140</f>
        <v>6</v>
      </c>
      <c r="J140" s="33">
        <f>INPUTS!AC140</f>
        <v>0</v>
      </c>
      <c r="K140" s="33">
        <f>INPUTS!AD140</f>
        <v>6</v>
      </c>
      <c r="L140" s="33">
        <f>INPUTS!AE140</f>
        <v>0</v>
      </c>
      <c r="M140" s="33">
        <f>INPUTS!AF140</f>
        <v>2.2400000000000002</v>
      </c>
      <c r="N140" s="34">
        <f>INPUTS!AG140</f>
        <v>1848.531999999997</v>
      </c>
    </row>
    <row r="141" spans="1:14" hidden="1" x14ac:dyDescent="0.25">
      <c r="A141" s="5" t="str">
        <f>INPUTS!B141</f>
        <v>Westgate</v>
      </c>
      <c r="B141" s="5" t="str">
        <f>INPUTS!C141</f>
        <v>Fred Taylor Drive (north and south)</v>
      </c>
      <c r="C141" s="6">
        <f>INPUTS!E141</f>
        <v>2.4</v>
      </c>
      <c r="D141" s="6">
        <f>INPUTS!R141</f>
        <v>13</v>
      </c>
      <c r="E141" s="6">
        <f>INPUTS!V141</f>
        <v>10</v>
      </c>
      <c r="F141" s="6">
        <f>INPUTS!W141</f>
        <v>150</v>
      </c>
      <c r="G141" s="33">
        <f>INPUTS!Z141</f>
        <v>4.8</v>
      </c>
      <c r="H141" s="33">
        <f>INPUTS!AA141</f>
        <v>0</v>
      </c>
      <c r="I141" s="33">
        <f>INPUTS!AB141</f>
        <v>1.44</v>
      </c>
      <c r="J141" s="33">
        <f>INPUTS!AC141</f>
        <v>0</v>
      </c>
      <c r="K141" s="33">
        <f>INPUTS!AD141</f>
        <v>1.44</v>
      </c>
      <c r="L141" s="33">
        <f>INPUTS!AE141</f>
        <v>0</v>
      </c>
      <c r="M141" s="33">
        <f>INPUTS!AF141</f>
        <v>0.53760000000000008</v>
      </c>
      <c r="N141" s="34">
        <f>INPUTS!AG141</f>
        <v>1856.7495999999969</v>
      </c>
    </row>
    <row r="142" spans="1:14" hidden="1" x14ac:dyDescent="0.25">
      <c r="A142" s="5" t="str">
        <f>INPUTS!B142</f>
        <v>Westgate</v>
      </c>
      <c r="B142" s="5" t="str">
        <f>INPUTS!C142</f>
        <v>Mamari Rd</v>
      </c>
      <c r="C142" s="6">
        <f>INPUTS!E142</f>
        <v>2.2999999999999998</v>
      </c>
      <c r="D142" s="6">
        <f>INPUTS!R142</f>
        <v>5</v>
      </c>
      <c r="E142" s="6">
        <f>INPUTS!V142</f>
        <v>52.399999999999991</v>
      </c>
      <c r="F142" s="6">
        <f>INPUTS!W142</f>
        <v>150</v>
      </c>
      <c r="G142" s="33">
        <f>INPUTS!Z142</f>
        <v>11.5</v>
      </c>
      <c r="H142" s="33">
        <f>INPUTS!AA142</f>
        <v>0</v>
      </c>
      <c r="I142" s="33">
        <f>INPUTS!AB142</f>
        <v>3.4499999999999997</v>
      </c>
      <c r="J142" s="33">
        <f>INPUTS!AC142</f>
        <v>0</v>
      </c>
      <c r="K142" s="33">
        <f>INPUTS!AD142</f>
        <v>3.4499999999999997</v>
      </c>
      <c r="L142" s="33">
        <f>INPUTS!AE142</f>
        <v>0</v>
      </c>
      <c r="M142" s="33">
        <f>INPUTS!AF142</f>
        <v>1.288</v>
      </c>
      <c r="N142" s="34">
        <f>INPUTS!AG142</f>
        <v>1876.437599999997</v>
      </c>
    </row>
    <row r="143" spans="1:14" hidden="1" x14ac:dyDescent="0.25">
      <c r="A143" s="5" t="str">
        <f>INPUTS!B143</f>
        <v>Henderson</v>
      </c>
      <c r="B143" s="5" t="str">
        <f>INPUTS!C143</f>
        <v>Metcalfe Rd</v>
      </c>
      <c r="C143" s="6">
        <f>INPUTS!E143</f>
        <v>1</v>
      </c>
      <c r="D143" s="6">
        <f>INPUTS!R143</f>
        <v>8</v>
      </c>
      <c r="E143" s="6">
        <f>INPUTS!V143</f>
        <v>75</v>
      </c>
      <c r="F143" s="6">
        <f>INPUTS!W143</f>
        <v>150</v>
      </c>
      <c r="G143" s="33">
        <f>INPUTS!Z143</f>
        <v>2</v>
      </c>
      <c r="H143" s="33">
        <f>INPUTS!AA143</f>
        <v>0</v>
      </c>
      <c r="I143" s="33">
        <f>INPUTS!AB143</f>
        <v>0.6</v>
      </c>
      <c r="J143" s="33">
        <f>INPUTS!AC143</f>
        <v>0</v>
      </c>
      <c r="K143" s="33">
        <f>INPUTS!AD143</f>
        <v>0.6</v>
      </c>
      <c r="L143" s="33">
        <f>INPUTS!AE143</f>
        <v>0</v>
      </c>
      <c r="M143" s="33">
        <f>INPUTS!AF143</f>
        <v>0.22400000000000003</v>
      </c>
      <c r="N143" s="34">
        <f>INPUTS!AG143</f>
        <v>1879.861599999997</v>
      </c>
    </row>
    <row r="144" spans="1:14" hidden="1" x14ac:dyDescent="0.25">
      <c r="A144" s="5" t="str">
        <f>INPUTS!B144</f>
        <v>New Lynn</v>
      </c>
      <c r="B144" s="5" t="str">
        <f>INPUTS!C144</f>
        <v>Pleasant Road</v>
      </c>
      <c r="C144" s="6">
        <f>INPUTS!E144</f>
        <v>1</v>
      </c>
      <c r="D144" s="6">
        <f>INPUTS!R144</f>
        <v>9</v>
      </c>
      <c r="E144" s="6">
        <f>INPUTS!V144</f>
        <v>155</v>
      </c>
      <c r="F144" s="6">
        <f>INPUTS!W144</f>
        <v>150</v>
      </c>
      <c r="G144" s="33">
        <f>INPUTS!Z144</f>
        <v>2</v>
      </c>
      <c r="H144" s="33">
        <f>INPUTS!AA144</f>
        <v>0</v>
      </c>
      <c r="I144" s="33">
        <f>INPUTS!AB144</f>
        <v>0.6</v>
      </c>
      <c r="J144" s="33">
        <f>INPUTS!AC144</f>
        <v>0</v>
      </c>
      <c r="K144" s="33">
        <f>INPUTS!AD144</f>
        <v>0.6</v>
      </c>
      <c r="L144" s="33">
        <f>INPUTS!AE144</f>
        <v>0</v>
      </c>
      <c r="M144" s="33">
        <f>INPUTS!AF144</f>
        <v>0.22400000000000003</v>
      </c>
      <c r="N144" s="34">
        <f>INPUTS!AG144</f>
        <v>1883.285599999997</v>
      </c>
    </row>
    <row r="145" spans="1:14" hidden="1" x14ac:dyDescent="0.25">
      <c r="A145" s="5" t="str">
        <f>INPUTS!B145</f>
        <v>Avondale</v>
      </c>
      <c r="B145" s="5" t="str">
        <f>INPUTS!C145</f>
        <v>Blockhouse Bay Rd</v>
      </c>
      <c r="C145" s="6">
        <f>INPUTS!E145</f>
        <v>2.8</v>
      </c>
      <c r="D145" s="6">
        <f>INPUTS!R145</f>
        <v>8</v>
      </c>
      <c r="E145" s="6">
        <f>INPUTS!V145</f>
        <v>32.82</v>
      </c>
      <c r="F145" s="6">
        <f>INPUTS!W145</f>
        <v>150</v>
      </c>
      <c r="G145" s="33">
        <f>INPUTS!Z145</f>
        <v>14</v>
      </c>
      <c r="H145" s="33">
        <f>INPUTS!AA145</f>
        <v>0</v>
      </c>
      <c r="I145" s="33">
        <f>INPUTS!AB145</f>
        <v>4.2</v>
      </c>
      <c r="J145" s="33">
        <f>INPUTS!AC145</f>
        <v>0</v>
      </c>
      <c r="K145" s="33">
        <f>INPUTS!AD145</f>
        <v>4.2</v>
      </c>
      <c r="L145" s="33">
        <f>INPUTS!AE145</f>
        <v>0</v>
      </c>
      <c r="M145" s="33">
        <f>INPUTS!AF145</f>
        <v>1.5680000000000001</v>
      </c>
      <c r="N145" s="34">
        <f>INPUTS!AG145</f>
        <v>1907.253599999997</v>
      </c>
    </row>
    <row r="146" spans="1:14" hidden="1" x14ac:dyDescent="0.25">
      <c r="A146" s="5" t="str">
        <f>INPUTS!B146</f>
        <v>Mt Albert</v>
      </c>
      <c r="B146" s="5" t="str">
        <f>INPUTS!C146</f>
        <v>Alberton Ave</v>
      </c>
      <c r="C146" s="6">
        <f>INPUTS!E146</f>
        <v>1.5</v>
      </c>
      <c r="D146" s="6">
        <f>INPUTS!R146</f>
        <v>10</v>
      </c>
      <c r="E146" s="6">
        <f>INPUTS!V146</f>
        <v>43.800000000000004</v>
      </c>
      <c r="F146" s="6">
        <f>INPUTS!W146</f>
        <v>150</v>
      </c>
      <c r="G146" s="33">
        <f>INPUTS!Z146</f>
        <v>3</v>
      </c>
      <c r="H146" s="33">
        <f>INPUTS!AA146</f>
        <v>0</v>
      </c>
      <c r="I146" s="33">
        <f>INPUTS!AB146</f>
        <v>0.89999999999999991</v>
      </c>
      <c r="J146" s="33">
        <f>INPUTS!AC146</f>
        <v>0</v>
      </c>
      <c r="K146" s="33">
        <f>INPUTS!AD146</f>
        <v>0.89999999999999991</v>
      </c>
      <c r="L146" s="33">
        <f>INPUTS!AE146</f>
        <v>0</v>
      </c>
      <c r="M146" s="33">
        <f>INPUTS!AF146</f>
        <v>0.33600000000000002</v>
      </c>
      <c r="N146" s="34">
        <f>INPUTS!AG146</f>
        <v>1912.389599999997</v>
      </c>
    </row>
    <row r="147" spans="1:14" hidden="1" x14ac:dyDescent="0.25">
      <c r="A147" s="5" t="str">
        <f>INPUTS!B147</f>
        <v>Ellerslie</v>
      </c>
      <c r="B147" s="5" t="str">
        <f>INPUTS!C147</f>
        <v>Lunn Ave</v>
      </c>
      <c r="C147" s="6">
        <f>INPUTS!E147</f>
        <v>1.3</v>
      </c>
      <c r="D147" s="6">
        <f>INPUTS!R147</f>
        <v>10</v>
      </c>
      <c r="E147" s="6">
        <f>INPUTS!V147</f>
        <v>38.6</v>
      </c>
      <c r="F147" s="6">
        <f>INPUTS!W147</f>
        <v>150</v>
      </c>
      <c r="G147" s="33">
        <f>INPUTS!Z147</f>
        <v>2.6</v>
      </c>
      <c r="H147" s="33">
        <f>INPUTS!AA147</f>
        <v>0</v>
      </c>
      <c r="I147" s="33">
        <f>INPUTS!AB147</f>
        <v>0.78</v>
      </c>
      <c r="J147" s="33">
        <f>INPUTS!AC147</f>
        <v>0</v>
      </c>
      <c r="K147" s="33">
        <f>INPUTS!AD147</f>
        <v>0.78</v>
      </c>
      <c r="L147" s="33">
        <f>INPUTS!AE147</f>
        <v>0</v>
      </c>
      <c r="M147" s="33">
        <f>INPUTS!AF147</f>
        <v>0.29120000000000001</v>
      </c>
      <c r="N147" s="34">
        <f>INPUTS!AG147</f>
        <v>1916.840799999997</v>
      </c>
    </row>
    <row r="148" spans="1:14" hidden="1" x14ac:dyDescent="0.25">
      <c r="A148" s="5" t="str">
        <f>INPUTS!B148</f>
        <v>Māngere</v>
      </c>
      <c r="B148" s="5" t="str">
        <f>INPUTS!C148</f>
        <v>Coronation Rd (gaps)</v>
      </c>
      <c r="C148" s="6">
        <f>INPUTS!E148</f>
        <v>0.7</v>
      </c>
      <c r="D148" s="6">
        <f>INPUTS!R148</f>
        <v>10</v>
      </c>
      <c r="E148" s="6">
        <f>INPUTS!V148</f>
        <v>11.864000000000001</v>
      </c>
      <c r="F148" s="6">
        <f>INPUTS!W148</f>
        <v>150</v>
      </c>
      <c r="G148" s="33">
        <f>INPUTS!Z148</f>
        <v>7</v>
      </c>
      <c r="H148" s="33">
        <f>INPUTS!AA148</f>
        <v>0</v>
      </c>
      <c r="I148" s="33">
        <f>INPUTS!AB148</f>
        <v>2.1</v>
      </c>
      <c r="J148" s="33">
        <f>INPUTS!AC148</f>
        <v>0</v>
      </c>
      <c r="K148" s="33">
        <f>INPUTS!AD148</f>
        <v>2.1</v>
      </c>
      <c r="L148" s="33">
        <f>INPUTS!AE148</f>
        <v>0</v>
      </c>
      <c r="M148" s="33">
        <f>INPUTS!AF148</f>
        <v>0.78400000000000003</v>
      </c>
      <c r="N148" s="34">
        <f>INPUTS!AG148</f>
        <v>1928.8247999999969</v>
      </c>
    </row>
    <row r="149" spans="1:14" hidden="1" x14ac:dyDescent="0.25">
      <c r="A149" s="5" t="str">
        <f>INPUTS!B149</f>
        <v>Māngere</v>
      </c>
      <c r="B149" s="5" t="str">
        <f>INPUTS!C149</f>
        <v>Rimu Rd</v>
      </c>
      <c r="C149" s="6">
        <f>INPUTS!E149</f>
        <v>0.3</v>
      </c>
      <c r="D149" s="6">
        <f>INPUTS!R149</f>
        <v>9</v>
      </c>
      <c r="E149" s="6">
        <f>INPUTS!V149</f>
        <v>37.863999999999997</v>
      </c>
      <c r="F149" s="6">
        <f>INPUTS!W149</f>
        <v>150</v>
      </c>
      <c r="G149" s="33">
        <f>INPUTS!Z149</f>
        <v>3</v>
      </c>
      <c r="H149" s="33">
        <f>INPUTS!AA149</f>
        <v>0</v>
      </c>
      <c r="I149" s="33">
        <f>INPUTS!AB149</f>
        <v>0.89999999999999991</v>
      </c>
      <c r="J149" s="33">
        <f>INPUTS!AC149</f>
        <v>0</v>
      </c>
      <c r="K149" s="33">
        <f>INPUTS!AD149</f>
        <v>0.89999999999999991</v>
      </c>
      <c r="L149" s="33">
        <f>INPUTS!AE149</f>
        <v>0</v>
      </c>
      <c r="M149" s="33">
        <f>INPUTS!AF149</f>
        <v>0.33600000000000002</v>
      </c>
      <c r="N149" s="34">
        <f>INPUTS!AG149</f>
        <v>1933.9607999999969</v>
      </c>
    </row>
    <row r="150" spans="1:14" hidden="1" x14ac:dyDescent="0.25">
      <c r="A150" s="5" t="str">
        <f>INPUTS!B150</f>
        <v>Māngere</v>
      </c>
      <c r="B150" s="5" t="str">
        <f>INPUTS!C150</f>
        <v>Rosella Road</v>
      </c>
      <c r="C150" s="6">
        <f>INPUTS!E150</f>
        <v>0.9</v>
      </c>
      <c r="D150" s="6">
        <f>INPUTS!R150</f>
        <v>12</v>
      </c>
      <c r="E150" s="6">
        <f>INPUTS!V150</f>
        <v>46.32</v>
      </c>
      <c r="F150" s="6">
        <f>INPUTS!W150</f>
        <v>150</v>
      </c>
      <c r="G150" s="33">
        <f>INPUTS!Z150</f>
        <v>1.8</v>
      </c>
      <c r="H150" s="33">
        <f>INPUTS!AA150</f>
        <v>0</v>
      </c>
      <c r="I150" s="33">
        <f>INPUTS!AB150</f>
        <v>0.54</v>
      </c>
      <c r="J150" s="33">
        <f>INPUTS!AC150</f>
        <v>0</v>
      </c>
      <c r="K150" s="33">
        <f>INPUTS!AD150</f>
        <v>0.54</v>
      </c>
      <c r="L150" s="33">
        <f>INPUTS!AE150</f>
        <v>0</v>
      </c>
      <c r="M150" s="33">
        <f>INPUTS!AF150</f>
        <v>0.2016</v>
      </c>
      <c r="N150" s="34">
        <f>INPUTS!AG150</f>
        <v>1937.0423999999969</v>
      </c>
    </row>
    <row r="151" spans="1:14" hidden="1" x14ac:dyDescent="0.25">
      <c r="A151" s="5" t="str">
        <f>INPUTS!B151</f>
        <v>Manurewa</v>
      </c>
      <c r="B151" s="5" t="str">
        <f>INPUTS!C151</f>
        <v>Mahia Rd extension; Rangi Rd; Popes Rd</v>
      </c>
      <c r="C151" s="6">
        <f>INPUTS!E151</f>
        <v>2</v>
      </c>
      <c r="D151" s="6">
        <f>INPUTS!R151</f>
        <v>10</v>
      </c>
      <c r="E151" s="6">
        <f>INPUTS!V151</f>
        <v>67.320000000000007</v>
      </c>
      <c r="F151" s="6">
        <f>INPUTS!W151</f>
        <v>150</v>
      </c>
      <c r="G151" s="33">
        <f>INPUTS!Z151</f>
        <v>10</v>
      </c>
      <c r="H151" s="33">
        <f>INPUTS!AA151</f>
        <v>0</v>
      </c>
      <c r="I151" s="33">
        <f>INPUTS!AB151</f>
        <v>3</v>
      </c>
      <c r="J151" s="33">
        <f>INPUTS!AC151</f>
        <v>0</v>
      </c>
      <c r="K151" s="33">
        <f>INPUTS!AD151</f>
        <v>3</v>
      </c>
      <c r="L151" s="33">
        <f>INPUTS!AE151</f>
        <v>0</v>
      </c>
      <c r="M151" s="33">
        <f>INPUTS!AF151</f>
        <v>1.1200000000000001</v>
      </c>
      <c r="N151" s="34">
        <f>INPUTS!AG151</f>
        <v>1954.1623999999968</v>
      </c>
    </row>
    <row r="152" spans="1:14" hidden="1" x14ac:dyDescent="0.25">
      <c r="A152" s="5" t="str">
        <f>INPUTS!B152</f>
        <v>Papakura</v>
      </c>
      <c r="B152" s="5" t="str">
        <f>INPUTS!C152</f>
        <v>Cosgrave Rd</v>
      </c>
      <c r="C152" s="6">
        <f>INPUTS!E152</f>
        <v>1.5</v>
      </c>
      <c r="D152" s="6">
        <f>INPUTS!R152</f>
        <v>6</v>
      </c>
      <c r="E152" s="6">
        <f>INPUTS!V152</f>
        <v>39.070000000000007</v>
      </c>
      <c r="F152" s="6">
        <f>INPUTS!W152</f>
        <v>150</v>
      </c>
      <c r="G152" s="33">
        <f>INPUTS!Z152</f>
        <v>7.5</v>
      </c>
      <c r="H152" s="33">
        <f>INPUTS!AA152</f>
        <v>0</v>
      </c>
      <c r="I152" s="33">
        <f>INPUTS!AB152</f>
        <v>2.25</v>
      </c>
      <c r="J152" s="33">
        <f>INPUTS!AC152</f>
        <v>0</v>
      </c>
      <c r="K152" s="33">
        <f>INPUTS!AD152</f>
        <v>2.25</v>
      </c>
      <c r="L152" s="33">
        <f>INPUTS!AE152</f>
        <v>0</v>
      </c>
      <c r="M152" s="33">
        <f>INPUTS!AF152</f>
        <v>0.84000000000000008</v>
      </c>
      <c r="N152" s="34">
        <f>INPUTS!AG152</f>
        <v>1967.0023999999967</v>
      </c>
    </row>
    <row r="153" spans="1:14" hidden="1" x14ac:dyDescent="0.25">
      <c r="A153" s="5" t="str">
        <f>INPUTS!B153</f>
        <v>Papakura</v>
      </c>
      <c r="B153" s="5" t="str">
        <f>INPUTS!C153</f>
        <v>Dominion Rd</v>
      </c>
      <c r="C153" s="6">
        <f>INPUTS!E153</f>
        <v>1.8</v>
      </c>
      <c r="D153" s="6">
        <f>INPUTS!R153</f>
        <v>7</v>
      </c>
      <c r="E153" s="6">
        <f>INPUTS!V153</f>
        <v>33.070000000000007</v>
      </c>
      <c r="F153" s="6">
        <f>INPUTS!W153</f>
        <v>150</v>
      </c>
      <c r="G153" s="33">
        <f>INPUTS!Z153</f>
        <v>9</v>
      </c>
      <c r="H153" s="33">
        <f>INPUTS!AA153</f>
        <v>0</v>
      </c>
      <c r="I153" s="33">
        <f>INPUTS!AB153</f>
        <v>2.6999999999999997</v>
      </c>
      <c r="J153" s="33">
        <f>INPUTS!AC153</f>
        <v>0</v>
      </c>
      <c r="K153" s="33">
        <f>INPUTS!AD153</f>
        <v>2.6999999999999997</v>
      </c>
      <c r="L153" s="33">
        <f>INPUTS!AE153</f>
        <v>0</v>
      </c>
      <c r="M153" s="33">
        <f>INPUTS!AF153</f>
        <v>1.008</v>
      </c>
      <c r="N153" s="34">
        <f>INPUTS!AG153</f>
        <v>1982.4103999999966</v>
      </c>
    </row>
    <row r="154" spans="1:14" hidden="1" x14ac:dyDescent="0.25">
      <c r="A154" s="5" t="str">
        <f>INPUTS!B154</f>
        <v>Papakura</v>
      </c>
      <c r="B154" s="5" t="str">
        <f>INPUTS!C154</f>
        <v>Croskery Rd</v>
      </c>
      <c r="C154" s="6">
        <f>INPUTS!E154</f>
        <v>0.5</v>
      </c>
      <c r="D154" s="6">
        <f>INPUTS!R154</f>
        <v>7</v>
      </c>
      <c r="E154" s="6">
        <f>INPUTS!V154</f>
        <v>61.175000000000004</v>
      </c>
      <c r="F154" s="6">
        <f>INPUTS!W154</f>
        <v>150</v>
      </c>
      <c r="G154" s="33">
        <f>INPUTS!Z154</f>
        <v>1</v>
      </c>
      <c r="H154" s="33">
        <f>INPUTS!AA154</f>
        <v>0</v>
      </c>
      <c r="I154" s="33">
        <f>INPUTS!AB154</f>
        <v>0.3</v>
      </c>
      <c r="J154" s="33">
        <f>INPUTS!AC154</f>
        <v>0</v>
      </c>
      <c r="K154" s="33">
        <f>INPUTS!AD154</f>
        <v>0.3</v>
      </c>
      <c r="L154" s="33">
        <f>INPUTS!AE154</f>
        <v>0</v>
      </c>
      <c r="M154" s="33">
        <f>INPUTS!AF154</f>
        <v>0.11200000000000002</v>
      </c>
      <c r="N154" s="34">
        <f>INPUTS!AG154</f>
        <v>1984.1223999999966</v>
      </c>
    </row>
    <row r="155" spans="1:14" hidden="1" x14ac:dyDescent="0.25">
      <c r="A155" s="5" t="str">
        <f>INPUTS!B155</f>
        <v xml:space="preserve">Drury </v>
      </c>
      <c r="B155" s="5" t="str">
        <f>INPUTS!C155</f>
        <v>Bremner Rd</v>
      </c>
      <c r="C155" s="6">
        <f>INPUTS!E155</f>
        <v>2.1</v>
      </c>
      <c r="D155" s="6">
        <f>INPUTS!R155</f>
        <v>9</v>
      </c>
      <c r="E155" s="6">
        <f>INPUTS!V155</f>
        <v>30.800000000000004</v>
      </c>
      <c r="F155" s="6">
        <f>INPUTS!W155</f>
        <v>150</v>
      </c>
      <c r="G155" s="33">
        <f>INPUTS!Z155</f>
        <v>10.5</v>
      </c>
      <c r="H155" s="33">
        <f>INPUTS!AA155</f>
        <v>0</v>
      </c>
      <c r="I155" s="33">
        <f>INPUTS!AB155</f>
        <v>3.15</v>
      </c>
      <c r="J155" s="33">
        <f>INPUTS!AC155</f>
        <v>0</v>
      </c>
      <c r="K155" s="33">
        <f>INPUTS!AD155</f>
        <v>3.15</v>
      </c>
      <c r="L155" s="33">
        <f>INPUTS!AE155</f>
        <v>0</v>
      </c>
      <c r="M155" s="33">
        <f>INPUTS!AF155</f>
        <v>1.1760000000000002</v>
      </c>
      <c r="N155" s="34">
        <f>INPUTS!AG155</f>
        <v>2002.0983999999967</v>
      </c>
    </row>
    <row r="156" spans="1:14" hidden="1" x14ac:dyDescent="0.25">
      <c r="A156" s="5" t="str">
        <f>INPUTS!B156</f>
        <v xml:space="preserve">Drury </v>
      </c>
      <c r="B156" s="5" t="str">
        <f>INPUTS!C156</f>
        <v>Jesmond Rd</v>
      </c>
      <c r="C156" s="6">
        <f>INPUTS!E156</f>
        <v>2.4</v>
      </c>
      <c r="D156" s="6">
        <f>INPUTS!R156</f>
        <v>5</v>
      </c>
      <c r="E156" s="6">
        <f>INPUTS!V156</f>
        <v>5</v>
      </c>
      <c r="F156" s="6">
        <f>INPUTS!W156</f>
        <v>150</v>
      </c>
      <c r="G156" s="33">
        <f>INPUTS!Z156</f>
        <v>12</v>
      </c>
      <c r="H156" s="33">
        <f>INPUTS!AA156</f>
        <v>0</v>
      </c>
      <c r="I156" s="33">
        <f>INPUTS!AB156</f>
        <v>3.5999999999999996</v>
      </c>
      <c r="J156" s="33">
        <f>INPUTS!AC156</f>
        <v>0</v>
      </c>
      <c r="K156" s="33">
        <f>INPUTS!AD156</f>
        <v>3.5999999999999996</v>
      </c>
      <c r="L156" s="33">
        <f>INPUTS!AE156</f>
        <v>0</v>
      </c>
      <c r="M156" s="33">
        <f>INPUTS!AF156</f>
        <v>1.3440000000000001</v>
      </c>
      <c r="N156" s="34">
        <f>INPUTS!AG156</f>
        <v>2022.6423999999968</v>
      </c>
    </row>
    <row r="157" spans="1:14" hidden="1" x14ac:dyDescent="0.25">
      <c r="A157" s="5" t="str">
        <f>INPUTS!B157</f>
        <v>Pukekohe</v>
      </c>
      <c r="B157" s="5" t="str">
        <f>INPUTS!C157</f>
        <v>Pukekohe Ring Route</v>
      </c>
      <c r="C157" s="6">
        <f>INPUTS!E157</f>
        <v>15</v>
      </c>
      <c r="D157" s="6">
        <f>INPUTS!R157</f>
        <v>8</v>
      </c>
      <c r="E157" s="6">
        <f>INPUTS!V157</f>
        <v>4</v>
      </c>
      <c r="F157" s="6">
        <f>INPUTS!W157</f>
        <v>150</v>
      </c>
      <c r="G157" s="33">
        <f>INPUTS!Z157</f>
        <v>75</v>
      </c>
      <c r="H157" s="33">
        <f>INPUTS!AA157</f>
        <v>0</v>
      </c>
      <c r="I157" s="33">
        <f>INPUTS!AB157</f>
        <v>22.5</v>
      </c>
      <c r="J157" s="33">
        <f>INPUTS!AC157</f>
        <v>0</v>
      </c>
      <c r="K157" s="33">
        <f>INPUTS!AD157</f>
        <v>22.5</v>
      </c>
      <c r="L157" s="33">
        <f>INPUTS!AE157</f>
        <v>0</v>
      </c>
      <c r="M157" s="33">
        <f>INPUTS!AF157</f>
        <v>8.4</v>
      </c>
      <c r="N157" s="34">
        <f>INPUTS!AG157</f>
        <v>2151.0423999999966</v>
      </c>
    </row>
    <row r="158" spans="1:14" hidden="1" x14ac:dyDescent="0.25">
      <c r="A158" s="5" t="str">
        <f>INPUTS!B158</f>
        <v>Silverdale</v>
      </c>
      <c r="B158" s="5" t="str">
        <f>INPUTS!C158</f>
        <v>SH1 Albany to Silverdale</v>
      </c>
      <c r="C158" s="6">
        <f>INPUTS!E158</f>
        <v>13.2</v>
      </c>
      <c r="D158" s="6">
        <f>INPUTS!R158</f>
        <v>11</v>
      </c>
      <c r="E158" s="6">
        <f>INPUTS!V158</f>
        <v>23.18</v>
      </c>
      <c r="F158" s="6">
        <f>INPUTS!W158</f>
        <v>200</v>
      </c>
      <c r="G158" s="33">
        <f>INPUTS!Z158</f>
        <v>264</v>
      </c>
      <c r="H158" s="33">
        <f>INPUTS!AA158</f>
        <v>0</v>
      </c>
      <c r="I158" s="33">
        <f>INPUTS!AB158</f>
        <v>79.2</v>
      </c>
      <c r="J158" s="33">
        <f>INPUTS!AC158</f>
        <v>0</v>
      </c>
      <c r="K158" s="33">
        <f>INPUTS!AD158</f>
        <v>79.2</v>
      </c>
      <c r="L158" s="33">
        <f>INPUTS!AE158</f>
        <v>0</v>
      </c>
      <c r="M158" s="33">
        <f>INPUTS!AF158</f>
        <v>29.568000000000001</v>
      </c>
      <c r="N158" s="34">
        <f>INPUTS!AG158</f>
        <v>2603.0103999999965</v>
      </c>
    </row>
    <row r="159" spans="1:14" hidden="1" x14ac:dyDescent="0.25">
      <c r="A159" s="5" t="str">
        <f>INPUTS!B159</f>
        <v>Constellation</v>
      </c>
      <c r="B159" s="5" t="str">
        <f>INPUTS!C159</f>
        <v>SH1 Akoranga to Constellation</v>
      </c>
      <c r="C159" s="6">
        <f>INPUTS!E159</f>
        <v>6.5</v>
      </c>
      <c r="D159" s="6">
        <f>INPUTS!R159</f>
        <v>11</v>
      </c>
      <c r="E159" s="6">
        <f>INPUTS!V159</f>
        <v>83.140909090909091</v>
      </c>
      <c r="F159" s="6">
        <f>INPUTS!W159</f>
        <v>200</v>
      </c>
      <c r="G159" s="33">
        <f>INPUTS!Z159</f>
        <v>143</v>
      </c>
      <c r="H159" s="33">
        <f>INPUTS!AA159</f>
        <v>0</v>
      </c>
      <c r="I159" s="33">
        <f>INPUTS!AB159</f>
        <v>42.9</v>
      </c>
      <c r="J159" s="33">
        <f>INPUTS!AC159</f>
        <v>0</v>
      </c>
      <c r="K159" s="33">
        <f>INPUTS!AD159</f>
        <v>42.9</v>
      </c>
      <c r="L159" s="33">
        <f>INPUTS!AE159</f>
        <v>0</v>
      </c>
      <c r="M159" s="33">
        <f>INPUTS!AF159</f>
        <v>16.016000000000002</v>
      </c>
      <c r="N159" s="34">
        <f>INPUTS!AG159</f>
        <v>2847.8263999999963</v>
      </c>
    </row>
    <row r="160" spans="1:14" hidden="1" x14ac:dyDescent="0.25">
      <c r="A160" s="5" t="str">
        <f>INPUTS!B160</f>
        <v>Constellation</v>
      </c>
      <c r="B160" s="5" t="str">
        <f>INPUTS!C160</f>
        <v>Upper Harbour Motorway</v>
      </c>
      <c r="C160" s="6">
        <f>INPUTS!E160</f>
        <v>3.6</v>
      </c>
      <c r="D160" s="6">
        <f>INPUTS!R160</f>
        <v>11</v>
      </c>
      <c r="E160" s="6">
        <f>INPUTS!V160</f>
        <v>29.405000000000005</v>
      </c>
      <c r="F160" s="6">
        <f>INPUTS!W160</f>
        <v>200</v>
      </c>
      <c r="G160" s="33">
        <f>INPUTS!Z160</f>
        <v>72</v>
      </c>
      <c r="H160" s="33">
        <f>INPUTS!AA160</f>
        <v>0</v>
      </c>
      <c r="I160" s="33">
        <f>INPUTS!AB160</f>
        <v>21.599999999999998</v>
      </c>
      <c r="J160" s="33">
        <f>INPUTS!AC160</f>
        <v>0</v>
      </c>
      <c r="K160" s="33">
        <f>INPUTS!AD160</f>
        <v>21.599999999999998</v>
      </c>
      <c r="L160" s="33">
        <f>INPUTS!AE160</f>
        <v>0</v>
      </c>
      <c r="M160" s="33">
        <f>INPUTS!AF160</f>
        <v>8.0640000000000001</v>
      </c>
      <c r="N160" s="34">
        <f>INPUTS!AG160</f>
        <v>2971.0903999999964</v>
      </c>
    </row>
    <row r="161" spans="1:14" hidden="1" x14ac:dyDescent="0.25">
      <c r="A161" s="5" t="str">
        <f>INPUTS!B161</f>
        <v>Westgate</v>
      </c>
      <c r="B161" s="5" t="str">
        <f>INPUTS!C161</f>
        <v>Upper Harbour Motorway (Hobsonville to Westgate)</v>
      </c>
      <c r="C161" s="6">
        <f>INPUTS!E161</f>
        <v>4.5</v>
      </c>
      <c r="D161" s="6">
        <f>INPUTS!R161</f>
        <v>13</v>
      </c>
      <c r="E161" s="6">
        <f>INPUTS!V161</f>
        <v>43.4</v>
      </c>
      <c r="F161" s="6">
        <f>INPUTS!W161</f>
        <v>200</v>
      </c>
      <c r="G161" s="33">
        <f>INPUTS!Z161</f>
        <v>45</v>
      </c>
      <c r="H161" s="33">
        <f>INPUTS!AA161</f>
        <v>0</v>
      </c>
      <c r="I161" s="33">
        <f>INPUTS!AB161</f>
        <v>13.5</v>
      </c>
      <c r="J161" s="33">
        <f>INPUTS!AC161</f>
        <v>0</v>
      </c>
      <c r="K161" s="33">
        <f>INPUTS!AD161</f>
        <v>13.5</v>
      </c>
      <c r="L161" s="33">
        <f>INPUTS!AE161</f>
        <v>0</v>
      </c>
      <c r="M161" s="33">
        <f>INPUTS!AF161</f>
        <v>5.0400000000000009</v>
      </c>
      <c r="N161" s="34">
        <f>INPUTS!AG161</f>
        <v>3048.1303999999964</v>
      </c>
    </row>
    <row r="162" spans="1:14" hidden="1" x14ac:dyDescent="0.25">
      <c r="A162" s="5" t="str">
        <f>INPUTS!B162</f>
        <v>Westgate</v>
      </c>
      <c r="B162" s="5" t="str">
        <f>INPUTS!C162</f>
        <v>SH16/North Western</v>
      </c>
      <c r="C162" s="6">
        <f>INPUTS!E162</f>
        <v>3.5</v>
      </c>
      <c r="D162" s="6">
        <f>INPUTS!R162</f>
        <v>14</v>
      </c>
      <c r="E162" s="6">
        <f>INPUTS!V162</f>
        <v>47.35</v>
      </c>
      <c r="F162" s="6">
        <f>INPUTS!W162</f>
        <v>200</v>
      </c>
      <c r="G162" s="33">
        <f>INPUTS!Z162</f>
        <v>70</v>
      </c>
      <c r="H162" s="33">
        <f>INPUTS!AA162</f>
        <v>0</v>
      </c>
      <c r="I162" s="33">
        <f>INPUTS!AB162</f>
        <v>21</v>
      </c>
      <c r="J162" s="33">
        <f>INPUTS!AC162</f>
        <v>0</v>
      </c>
      <c r="K162" s="33">
        <f>INPUTS!AD162</f>
        <v>21</v>
      </c>
      <c r="L162" s="33">
        <f>INPUTS!AE162</f>
        <v>0</v>
      </c>
      <c r="M162" s="33">
        <f>INPUTS!AF162</f>
        <v>7.8400000000000007</v>
      </c>
      <c r="N162" s="34">
        <f>INPUTS!AG162</f>
        <v>3167.9703999999965</v>
      </c>
    </row>
    <row r="163" spans="1:14" hidden="1" x14ac:dyDescent="0.25">
      <c r="A163" s="5" t="str">
        <f>INPUTS!B163</f>
        <v>Glen Eden</v>
      </c>
      <c r="B163" s="5" t="str">
        <f>INPUTS!C163</f>
        <v>Awaroa Road</v>
      </c>
      <c r="C163" s="6">
        <f>INPUTS!E163</f>
        <v>1.5</v>
      </c>
      <c r="D163" s="6">
        <f>INPUTS!R163</f>
        <v>14</v>
      </c>
      <c r="E163" s="6">
        <f>INPUTS!V163</f>
        <v>144.1</v>
      </c>
      <c r="F163" s="6">
        <f>INPUTS!W163</f>
        <v>200</v>
      </c>
      <c r="G163" s="33">
        <f>INPUTS!Z163</f>
        <v>3</v>
      </c>
      <c r="H163" s="33">
        <f>INPUTS!AA163</f>
        <v>0</v>
      </c>
      <c r="I163" s="33">
        <f>INPUTS!AB163</f>
        <v>0.89999999999999991</v>
      </c>
      <c r="J163" s="33">
        <f>INPUTS!AC163</f>
        <v>0</v>
      </c>
      <c r="K163" s="33">
        <f>INPUTS!AD163</f>
        <v>0.89999999999999991</v>
      </c>
      <c r="L163" s="33">
        <f>INPUTS!AE163</f>
        <v>0</v>
      </c>
      <c r="M163" s="33">
        <f>INPUTS!AF163</f>
        <v>0.33600000000000002</v>
      </c>
      <c r="N163" s="34">
        <f>INPUTS!AG163</f>
        <v>3173.1063999999965</v>
      </c>
    </row>
    <row r="164" spans="1:14" hidden="1" x14ac:dyDescent="0.25">
      <c r="A164" s="5" t="str">
        <f>INPUTS!B164</f>
        <v>Glen Eden</v>
      </c>
      <c r="B164" s="5" t="str">
        <f>INPUTS!C164</f>
        <v>Hepburn Road</v>
      </c>
      <c r="C164" s="6">
        <f>INPUTS!E164</f>
        <v>1.5</v>
      </c>
      <c r="D164" s="6">
        <f>INPUTS!R164</f>
        <v>14</v>
      </c>
      <c r="E164" s="6">
        <f>INPUTS!V164</f>
        <v>70.599999999999994</v>
      </c>
      <c r="F164" s="6">
        <f>INPUTS!W164</f>
        <v>200</v>
      </c>
      <c r="G164" s="33">
        <f>INPUTS!Z164</f>
        <v>3</v>
      </c>
      <c r="H164" s="33">
        <f>INPUTS!AA164</f>
        <v>0</v>
      </c>
      <c r="I164" s="33">
        <f>INPUTS!AB164</f>
        <v>0.89999999999999991</v>
      </c>
      <c r="J164" s="33">
        <f>INPUTS!AC164</f>
        <v>0</v>
      </c>
      <c r="K164" s="33">
        <f>INPUTS!AD164</f>
        <v>0.89999999999999991</v>
      </c>
      <c r="L164" s="33">
        <f>INPUTS!AE164</f>
        <v>0</v>
      </c>
      <c r="M164" s="33">
        <f>INPUTS!AF164</f>
        <v>0.33600000000000002</v>
      </c>
      <c r="N164" s="34">
        <f>INPUTS!AG164</f>
        <v>3178.2423999999965</v>
      </c>
    </row>
    <row r="165" spans="1:14" hidden="1" x14ac:dyDescent="0.25">
      <c r="A165" s="5" t="str">
        <f>INPUTS!B165</f>
        <v>New Lynn</v>
      </c>
      <c r="B165" s="5" t="str">
        <f>INPUTS!C165</f>
        <v>West Coast Road</v>
      </c>
      <c r="C165" s="6">
        <f>INPUTS!E165</f>
        <v>3.7</v>
      </c>
      <c r="D165" s="6">
        <f>INPUTS!R165</f>
        <v>14</v>
      </c>
      <c r="E165" s="6">
        <f>INPUTS!V165</f>
        <v>144.5</v>
      </c>
      <c r="F165" s="6">
        <f>INPUTS!W165</f>
        <v>200</v>
      </c>
      <c r="G165" s="33">
        <f>INPUTS!Z165</f>
        <v>7.4</v>
      </c>
      <c r="H165" s="33">
        <f>INPUTS!AA165</f>
        <v>0</v>
      </c>
      <c r="I165" s="33">
        <f>INPUTS!AB165</f>
        <v>2.2200000000000002</v>
      </c>
      <c r="J165" s="33">
        <f>INPUTS!AC165</f>
        <v>0</v>
      </c>
      <c r="K165" s="33">
        <f>INPUTS!AD165</f>
        <v>2.2200000000000002</v>
      </c>
      <c r="L165" s="33">
        <f>INPUTS!AE165</f>
        <v>0</v>
      </c>
      <c r="M165" s="33">
        <f>INPUTS!AF165</f>
        <v>0.8288000000000002</v>
      </c>
      <c r="N165" s="34">
        <f>INPUTS!AG165</f>
        <v>3190.9111999999964</v>
      </c>
    </row>
    <row r="166" spans="1:14" hidden="1" x14ac:dyDescent="0.25">
      <c r="A166" s="5" t="str">
        <f>INPUTS!B166</f>
        <v>Mt Albert</v>
      </c>
      <c r="B166" s="5" t="str">
        <f>INPUTS!C166</f>
        <v>Balmoral Rd; St Lukes Rd</v>
      </c>
      <c r="C166" s="6">
        <f>INPUTS!E166</f>
        <v>4</v>
      </c>
      <c r="D166" s="6">
        <f>INPUTS!R166</f>
        <v>11</v>
      </c>
      <c r="E166" s="6">
        <f>INPUTS!V166</f>
        <v>53.33</v>
      </c>
      <c r="F166" s="6">
        <f>INPUTS!W166</f>
        <v>200</v>
      </c>
      <c r="G166" s="33">
        <f>INPUTS!Z166</f>
        <v>80</v>
      </c>
      <c r="H166" s="33">
        <f>INPUTS!AA166</f>
        <v>0</v>
      </c>
      <c r="I166" s="33">
        <f>INPUTS!AB166</f>
        <v>24</v>
      </c>
      <c r="J166" s="33">
        <f>INPUTS!AC166</f>
        <v>0</v>
      </c>
      <c r="K166" s="33">
        <f>INPUTS!AD166</f>
        <v>24</v>
      </c>
      <c r="L166" s="33">
        <f>INPUTS!AE166</f>
        <v>0</v>
      </c>
      <c r="M166" s="33">
        <f>INPUTS!AF166</f>
        <v>8.9600000000000009</v>
      </c>
      <c r="N166" s="34">
        <f>INPUTS!AG166</f>
        <v>3327.8711999999964</v>
      </c>
    </row>
    <row r="167" spans="1:14" hidden="1" x14ac:dyDescent="0.25">
      <c r="A167" s="5" t="str">
        <f>INPUTS!B167</f>
        <v>City Centre</v>
      </c>
      <c r="B167" s="5" t="str">
        <f>INPUTS!C167</f>
        <v>Fanshawe St</v>
      </c>
      <c r="C167" s="6">
        <f>INPUTS!E167</f>
        <v>1</v>
      </c>
      <c r="D167" s="6">
        <f>INPUTS!R167</f>
        <v>15</v>
      </c>
      <c r="E167" s="6">
        <f>INPUTS!V167</f>
        <v>196</v>
      </c>
      <c r="F167" s="6">
        <f>INPUTS!W167</f>
        <v>200</v>
      </c>
      <c r="G167" s="33">
        <f>INPUTS!Z167</f>
        <v>5</v>
      </c>
      <c r="H167" s="33">
        <f>INPUTS!AA167</f>
        <v>0</v>
      </c>
      <c r="I167" s="33">
        <f>INPUTS!AB167</f>
        <v>1.5</v>
      </c>
      <c r="J167" s="33">
        <f>INPUTS!AC167</f>
        <v>0</v>
      </c>
      <c r="K167" s="33">
        <f>INPUTS!AD167</f>
        <v>1.5</v>
      </c>
      <c r="L167" s="33">
        <f>INPUTS!AE167</f>
        <v>0</v>
      </c>
      <c r="M167" s="33">
        <f>INPUTS!AF167</f>
        <v>0.56000000000000005</v>
      </c>
      <c r="N167" s="34">
        <f>INPUTS!AG167</f>
        <v>3336.4311999999964</v>
      </c>
    </row>
    <row r="168" spans="1:14" hidden="1" x14ac:dyDescent="0.25">
      <c r="A168" s="5" t="str">
        <f>INPUTS!B168</f>
        <v>City Centre</v>
      </c>
      <c r="B168" s="5" t="str">
        <f>INPUTS!C168</f>
        <v>Cook St</v>
      </c>
      <c r="C168" s="6">
        <f>INPUTS!E168</f>
        <v>0.8</v>
      </c>
      <c r="D168" s="6">
        <f>INPUTS!R168</f>
        <v>17</v>
      </c>
      <c r="E168" s="6">
        <f>INPUTS!V168</f>
        <v>144.5</v>
      </c>
      <c r="F168" s="6">
        <f>INPUTS!W168</f>
        <v>200</v>
      </c>
      <c r="G168" s="33">
        <f>INPUTS!Z168</f>
        <v>1.6</v>
      </c>
      <c r="H168" s="33">
        <f>INPUTS!AA168</f>
        <v>0</v>
      </c>
      <c r="I168" s="33">
        <f>INPUTS!AB168</f>
        <v>0.48</v>
      </c>
      <c r="J168" s="33">
        <f>INPUTS!AC168</f>
        <v>0</v>
      </c>
      <c r="K168" s="33">
        <f>INPUTS!AD168</f>
        <v>0.48</v>
      </c>
      <c r="L168" s="33">
        <f>INPUTS!AE168</f>
        <v>0</v>
      </c>
      <c r="M168" s="33">
        <f>INPUTS!AF168</f>
        <v>0.17920000000000003</v>
      </c>
      <c r="N168" s="34">
        <f>INPUTS!AG168</f>
        <v>3339.1703999999963</v>
      </c>
    </row>
    <row r="169" spans="1:14" hidden="1" x14ac:dyDescent="0.25">
      <c r="A169" s="5" t="str">
        <f>INPUTS!B169</f>
        <v>City Centre</v>
      </c>
      <c r="B169" s="5" t="str">
        <f>INPUTS!C169</f>
        <v>Victoria St West (Nelson St to Queen St)</v>
      </c>
      <c r="C169" s="6">
        <f>INPUTS!E169</f>
        <v>0.5</v>
      </c>
      <c r="D169" s="6">
        <f>INPUTS!R169</f>
        <v>16</v>
      </c>
      <c r="E169" s="6">
        <f>INPUTS!V169</f>
        <v>247</v>
      </c>
      <c r="F169" s="6">
        <f>INPUTS!W169</f>
        <v>200</v>
      </c>
      <c r="G169" s="33">
        <f>INPUTS!Z169</f>
        <v>2.5</v>
      </c>
      <c r="H169" s="33">
        <f>INPUTS!AA169</f>
        <v>0</v>
      </c>
      <c r="I169" s="33">
        <f>INPUTS!AB169</f>
        <v>0.75</v>
      </c>
      <c r="J169" s="33">
        <f>INPUTS!AC169</f>
        <v>0</v>
      </c>
      <c r="K169" s="33">
        <f>INPUTS!AD169</f>
        <v>0.75</v>
      </c>
      <c r="L169" s="33">
        <f>INPUTS!AE169</f>
        <v>0</v>
      </c>
      <c r="M169" s="33">
        <f>INPUTS!AF169</f>
        <v>0.28000000000000003</v>
      </c>
      <c r="N169" s="34">
        <f>INPUTS!AG169</f>
        <v>3343.4503999999965</v>
      </c>
    </row>
    <row r="170" spans="1:14" hidden="1" x14ac:dyDescent="0.25">
      <c r="A170" s="5" t="str">
        <f>INPUTS!B170</f>
        <v>City Centre</v>
      </c>
      <c r="B170" s="5" t="str">
        <f>INPUTS!C170</f>
        <v xml:space="preserve">Wellesley St East </v>
      </c>
      <c r="C170" s="6">
        <f>INPUTS!E170</f>
        <v>1</v>
      </c>
      <c r="D170" s="6">
        <f>INPUTS!R170</f>
        <v>13</v>
      </c>
      <c r="E170" s="6">
        <f>INPUTS!V170</f>
        <v>75.7</v>
      </c>
      <c r="F170" s="6">
        <f>INPUTS!W170</f>
        <v>200</v>
      </c>
      <c r="G170" s="33">
        <f>INPUTS!Z170</f>
        <v>10</v>
      </c>
      <c r="H170" s="33">
        <f>INPUTS!AA170</f>
        <v>0</v>
      </c>
      <c r="I170" s="33">
        <f>INPUTS!AB170</f>
        <v>3</v>
      </c>
      <c r="J170" s="33">
        <f>INPUTS!AC170</f>
        <v>0</v>
      </c>
      <c r="K170" s="33">
        <f>INPUTS!AD170</f>
        <v>3</v>
      </c>
      <c r="L170" s="33">
        <f>INPUTS!AE170</f>
        <v>0</v>
      </c>
      <c r="M170" s="33">
        <f>INPUTS!AF170</f>
        <v>1.1200000000000001</v>
      </c>
      <c r="N170" s="34">
        <f>INPUTS!AG170</f>
        <v>3360.5703999999964</v>
      </c>
    </row>
    <row r="171" spans="1:14" hidden="1" x14ac:dyDescent="0.25">
      <c r="A171" s="5" t="str">
        <f>INPUTS!B171</f>
        <v>City Centre</v>
      </c>
      <c r="B171" s="5" t="str">
        <f>INPUTS!C171</f>
        <v>Grafton Road</v>
      </c>
      <c r="C171" s="6">
        <f>INPUTS!E171</f>
        <v>0.5</v>
      </c>
      <c r="D171" s="6">
        <f>INPUTS!R171</f>
        <v>16</v>
      </c>
      <c r="E171" s="6">
        <f>INPUTS!V171</f>
        <v>281.5</v>
      </c>
      <c r="F171" s="6">
        <f>INPUTS!W171</f>
        <v>200</v>
      </c>
      <c r="G171" s="33">
        <f>INPUTS!Z171</f>
        <v>1</v>
      </c>
      <c r="H171" s="33">
        <f>INPUTS!AA171</f>
        <v>0</v>
      </c>
      <c r="I171" s="33">
        <f>INPUTS!AB171</f>
        <v>0.3</v>
      </c>
      <c r="J171" s="33">
        <f>INPUTS!AC171</f>
        <v>0</v>
      </c>
      <c r="K171" s="33">
        <f>INPUTS!AD171</f>
        <v>0.3</v>
      </c>
      <c r="L171" s="33">
        <f>INPUTS!AE171</f>
        <v>0</v>
      </c>
      <c r="M171" s="33">
        <f>INPUTS!AF171</f>
        <v>0.11200000000000002</v>
      </c>
      <c r="N171" s="34">
        <f>INPUTS!AG171</f>
        <v>3362.2823999999964</v>
      </c>
    </row>
    <row r="172" spans="1:14" hidden="1" x14ac:dyDescent="0.25">
      <c r="A172" s="5" t="str">
        <f>INPUTS!B172</f>
        <v>City Centre</v>
      </c>
      <c r="B172" s="5" t="str">
        <f>INPUTS!C172</f>
        <v>Newton Rd</v>
      </c>
      <c r="C172" s="6">
        <f>INPUTS!E172</f>
        <v>0.5</v>
      </c>
      <c r="D172" s="6">
        <f>INPUTS!R172</f>
        <v>13</v>
      </c>
      <c r="E172" s="6">
        <f>INPUTS!V172</f>
        <v>36.700000000000003</v>
      </c>
      <c r="F172" s="6">
        <f>INPUTS!W172</f>
        <v>200</v>
      </c>
      <c r="G172" s="33">
        <f>INPUTS!Z172</f>
        <v>5</v>
      </c>
      <c r="H172" s="33">
        <f>INPUTS!AA172</f>
        <v>0</v>
      </c>
      <c r="I172" s="33">
        <f>INPUTS!AB172</f>
        <v>1.5</v>
      </c>
      <c r="J172" s="33">
        <f>INPUTS!AC172</f>
        <v>0</v>
      </c>
      <c r="K172" s="33">
        <f>INPUTS!AD172</f>
        <v>1.5</v>
      </c>
      <c r="L172" s="33">
        <f>INPUTS!AE172</f>
        <v>0</v>
      </c>
      <c r="M172" s="33">
        <f>INPUTS!AF172</f>
        <v>0.56000000000000005</v>
      </c>
      <c r="N172" s="34">
        <f>INPUTS!AG172</f>
        <v>3370.8423999999964</v>
      </c>
    </row>
    <row r="173" spans="1:14" hidden="1" x14ac:dyDescent="0.25">
      <c r="A173" s="5" t="str">
        <f>INPUTS!B173</f>
        <v>Newmarket</v>
      </c>
      <c r="B173" s="5" t="str">
        <f>INPUTS!C173</f>
        <v>Owens Road</v>
      </c>
      <c r="C173" s="6">
        <f>INPUTS!E173</f>
        <v>0.5</v>
      </c>
      <c r="D173" s="6">
        <f>INPUTS!R173</f>
        <v>12</v>
      </c>
      <c r="E173" s="6">
        <f>INPUTS!V173</f>
        <v>260.5</v>
      </c>
      <c r="F173" s="6">
        <f>INPUTS!W173</f>
        <v>200</v>
      </c>
      <c r="G173" s="33">
        <f>INPUTS!Z173</f>
        <v>1</v>
      </c>
      <c r="H173" s="33">
        <f>INPUTS!AA173</f>
        <v>0</v>
      </c>
      <c r="I173" s="33">
        <f>INPUTS!AB173</f>
        <v>0.3</v>
      </c>
      <c r="J173" s="33">
        <f>INPUTS!AC173</f>
        <v>0</v>
      </c>
      <c r="K173" s="33">
        <f>INPUTS!AD173</f>
        <v>0.3</v>
      </c>
      <c r="L173" s="33">
        <f>INPUTS!AE173</f>
        <v>0</v>
      </c>
      <c r="M173" s="33">
        <f>INPUTS!AF173</f>
        <v>0.11200000000000002</v>
      </c>
      <c r="N173" s="34">
        <f>INPUTS!AG173</f>
        <v>3372.5543999999963</v>
      </c>
    </row>
    <row r="174" spans="1:14" hidden="1" x14ac:dyDescent="0.25">
      <c r="A174" s="5" t="str">
        <f>INPUTS!B174</f>
        <v>Newmarket</v>
      </c>
      <c r="B174" s="5" t="str">
        <f>INPUTS!C174</f>
        <v>Stokes Rd; Epsom Ave</v>
      </c>
      <c r="C174" s="6">
        <f>INPUTS!E174</f>
        <v>1.3</v>
      </c>
      <c r="D174" s="6">
        <f>INPUTS!R174</f>
        <v>17</v>
      </c>
      <c r="E174" s="6">
        <f>INPUTS!V174</f>
        <v>274</v>
      </c>
      <c r="F174" s="6">
        <f>INPUTS!W174</f>
        <v>200</v>
      </c>
      <c r="G174" s="33">
        <f>INPUTS!Z174</f>
        <v>2.6</v>
      </c>
      <c r="H174" s="33">
        <f>INPUTS!AA174</f>
        <v>0</v>
      </c>
      <c r="I174" s="33">
        <f>INPUTS!AB174</f>
        <v>0.78</v>
      </c>
      <c r="J174" s="33">
        <f>INPUTS!AC174</f>
        <v>0</v>
      </c>
      <c r="K174" s="33">
        <f>INPUTS!AD174</f>
        <v>0.78</v>
      </c>
      <c r="L174" s="33">
        <f>INPUTS!AE174</f>
        <v>0</v>
      </c>
      <c r="M174" s="33">
        <f>INPUTS!AF174</f>
        <v>0.29120000000000001</v>
      </c>
      <c r="N174" s="34">
        <f>INPUTS!AG174</f>
        <v>3377.0055999999963</v>
      </c>
    </row>
    <row r="175" spans="1:14" hidden="1" x14ac:dyDescent="0.25">
      <c r="A175" s="5" t="str">
        <f>INPUTS!B175</f>
        <v>Newmarket</v>
      </c>
      <c r="B175" s="5" t="str">
        <f>INPUTS!C175</f>
        <v>Mt St John Avenue</v>
      </c>
      <c r="C175" s="6">
        <f>INPUTS!E175</f>
        <v>0.8</v>
      </c>
      <c r="D175" s="6">
        <f>INPUTS!R175</f>
        <v>12</v>
      </c>
      <c r="E175" s="6">
        <f>INPUTS!V175</f>
        <v>301</v>
      </c>
      <c r="F175" s="6">
        <f>INPUTS!W175</f>
        <v>200</v>
      </c>
      <c r="G175" s="33">
        <f>INPUTS!Z175</f>
        <v>1.6</v>
      </c>
      <c r="H175" s="33">
        <f>INPUTS!AA175</f>
        <v>0</v>
      </c>
      <c r="I175" s="33">
        <f>INPUTS!AB175</f>
        <v>0.48</v>
      </c>
      <c r="J175" s="33">
        <f>INPUTS!AC175</f>
        <v>0</v>
      </c>
      <c r="K175" s="33">
        <f>INPUTS!AD175</f>
        <v>0.48</v>
      </c>
      <c r="L175" s="33">
        <f>INPUTS!AE175</f>
        <v>0</v>
      </c>
      <c r="M175" s="33">
        <f>INPUTS!AF175</f>
        <v>0.17920000000000003</v>
      </c>
      <c r="N175" s="34">
        <f>INPUTS!AG175</f>
        <v>3379.7447999999963</v>
      </c>
    </row>
    <row r="176" spans="1:14" hidden="1" x14ac:dyDescent="0.25">
      <c r="A176" s="5" t="str">
        <f>INPUTS!B176</f>
        <v>Newmarket</v>
      </c>
      <c r="B176" s="5" t="str">
        <f>INPUTS!C176</f>
        <v>Market Road</v>
      </c>
      <c r="C176" s="6">
        <f>INPUTS!E176</f>
        <v>0.7</v>
      </c>
      <c r="D176" s="6">
        <f>INPUTS!R176</f>
        <v>13</v>
      </c>
      <c r="E176" s="6">
        <f>INPUTS!V176</f>
        <v>132.5</v>
      </c>
      <c r="F176" s="6">
        <f>INPUTS!W176</f>
        <v>200</v>
      </c>
      <c r="G176" s="33">
        <f>INPUTS!Z176</f>
        <v>1.4</v>
      </c>
      <c r="H176" s="33">
        <f>INPUTS!AA176</f>
        <v>0</v>
      </c>
      <c r="I176" s="33">
        <f>INPUTS!AB176</f>
        <v>0.42</v>
      </c>
      <c r="J176" s="33">
        <f>INPUTS!AC176</f>
        <v>0</v>
      </c>
      <c r="K176" s="33">
        <f>INPUTS!AD176</f>
        <v>0.42</v>
      </c>
      <c r="L176" s="33">
        <f>INPUTS!AE176</f>
        <v>0</v>
      </c>
      <c r="M176" s="33">
        <f>INPUTS!AF176</f>
        <v>0.15679999999999999</v>
      </c>
      <c r="N176" s="34">
        <f>INPUTS!AG176</f>
        <v>3382.1415999999963</v>
      </c>
    </row>
    <row r="177" spans="1:14" hidden="1" x14ac:dyDescent="0.25">
      <c r="A177" s="5" t="str">
        <f>INPUTS!B177</f>
        <v>Ellerslie</v>
      </c>
      <c r="B177" s="5" t="str">
        <f>INPUTS!C177</f>
        <v>Amy Street; Michaels Ave; Koraha St</v>
      </c>
      <c r="C177" s="6">
        <f>INPUTS!E177</f>
        <v>2.5</v>
      </c>
      <c r="D177" s="6">
        <f>INPUTS!R177</f>
        <v>11</v>
      </c>
      <c r="E177" s="6">
        <f>INPUTS!V177</f>
        <v>103.1</v>
      </c>
      <c r="F177" s="6">
        <f>INPUTS!W177</f>
        <v>200</v>
      </c>
      <c r="G177" s="33">
        <f>INPUTS!Z177</f>
        <v>5</v>
      </c>
      <c r="H177" s="33">
        <f>INPUTS!AA177</f>
        <v>0</v>
      </c>
      <c r="I177" s="33">
        <f>INPUTS!AB177</f>
        <v>1.5</v>
      </c>
      <c r="J177" s="33">
        <f>INPUTS!AC177</f>
        <v>0</v>
      </c>
      <c r="K177" s="33">
        <f>INPUTS!AD177</f>
        <v>1.5</v>
      </c>
      <c r="L177" s="33">
        <f>INPUTS!AE177</f>
        <v>0</v>
      </c>
      <c r="M177" s="33">
        <f>INPUTS!AF177</f>
        <v>0.56000000000000005</v>
      </c>
      <c r="N177" s="34">
        <f>INPUTS!AG177</f>
        <v>3390.7015999999962</v>
      </c>
    </row>
    <row r="178" spans="1:14" hidden="1" x14ac:dyDescent="0.25">
      <c r="A178" s="5" t="str">
        <f>INPUTS!B178</f>
        <v>Mt Wellington</v>
      </c>
      <c r="B178" s="5" t="str">
        <f>INPUTS!C178</f>
        <v>Penrose Rd</v>
      </c>
      <c r="C178" s="6">
        <f>INPUTS!E178</f>
        <v>2.2000000000000002</v>
      </c>
      <c r="D178" s="6">
        <f>INPUTS!R178</f>
        <v>11</v>
      </c>
      <c r="E178" s="6">
        <f>INPUTS!V178</f>
        <v>169.8</v>
      </c>
      <c r="F178" s="6">
        <f>INPUTS!W178</f>
        <v>200</v>
      </c>
      <c r="G178" s="33">
        <f>INPUTS!Z178</f>
        <v>11</v>
      </c>
      <c r="H178" s="33">
        <f>INPUTS!AA178</f>
        <v>0</v>
      </c>
      <c r="I178" s="33">
        <f>INPUTS!AB178</f>
        <v>3.3</v>
      </c>
      <c r="J178" s="33">
        <f>INPUTS!AC178</f>
        <v>0</v>
      </c>
      <c r="K178" s="33">
        <f>INPUTS!AD178</f>
        <v>3.3</v>
      </c>
      <c r="L178" s="33">
        <f>INPUTS!AE178</f>
        <v>0</v>
      </c>
      <c r="M178" s="33">
        <f>INPUTS!AF178</f>
        <v>1.2320000000000002</v>
      </c>
      <c r="N178" s="34">
        <f>INPUTS!AG178</f>
        <v>3409.5335999999961</v>
      </c>
    </row>
  </sheetData>
  <autoFilter ref="A1:N178" xr:uid="{EE501E30-6BD3-4B02-B374-999CB4E8980A}">
    <filterColumn colId="0">
      <filters>
        <filter val="Manukau"/>
      </filters>
    </filterColumn>
    <sortState xmlns:xlrd2="http://schemas.microsoft.com/office/spreadsheetml/2017/richdata2" ref="A3:N176">
      <sortCondition ref="F1:F176"/>
    </sortState>
  </autoFilter>
  <conditionalFormatting sqref="D1:D1048576">
    <cfRule type="colorScale" priority="3">
      <colorScale>
        <cfvo type="min"/>
        <cfvo type="max"/>
        <color rgb="FFFCFCFF"/>
        <color rgb="FF63BE7B"/>
      </colorScale>
    </cfRule>
  </conditionalFormatting>
  <conditionalFormatting sqref="E1:E1048576">
    <cfRule type="colorScale" priority="2">
      <colorScale>
        <cfvo type="min"/>
        <cfvo type="percentile" val="50"/>
        <cfvo type="max"/>
        <color rgb="FFF8696B"/>
        <color rgb="FFFFEB84"/>
        <color rgb="FF63BE7B"/>
      </colorScale>
    </cfRule>
  </conditionalFormatting>
  <conditionalFormatting sqref="F1:F1048576">
    <cfRule type="colorScale" priority="1">
      <colorScale>
        <cfvo type="min"/>
        <cfvo type="max"/>
        <color rgb="FF63BE7B"/>
        <color rgb="FFFCFCFF"/>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39AEE-3949-4063-9153-D4C1B37B4E04}">
  <sheetPr>
    <tabColor theme="7" tint="0.59999389629810485"/>
  </sheetPr>
  <dimension ref="A2:D112"/>
  <sheetViews>
    <sheetView topLeftCell="A5" workbookViewId="0">
      <selection activeCell="A14" sqref="A14"/>
    </sheetView>
  </sheetViews>
  <sheetFormatPr defaultRowHeight="15" x14ac:dyDescent="0.25"/>
  <cols>
    <col min="1" max="1" width="48.42578125" bestFit="1" customWidth="1"/>
    <col min="2" max="2" width="16.140625" bestFit="1" customWidth="1"/>
    <col min="3" max="3" width="36.85546875" bestFit="1" customWidth="1"/>
    <col min="4" max="4" width="11.42578125" bestFit="1" customWidth="1"/>
    <col min="5" max="5" width="20.85546875" bestFit="1" customWidth="1"/>
    <col min="6" max="6" width="12.42578125" bestFit="1" customWidth="1"/>
    <col min="7" max="7" width="6.140625" bestFit="1" customWidth="1"/>
    <col min="8" max="8" width="11" bestFit="1" customWidth="1"/>
    <col min="9" max="9" width="11.5703125" bestFit="1" customWidth="1"/>
    <col min="10" max="10" width="7.85546875" bestFit="1" customWidth="1"/>
    <col min="11" max="11" width="9.85546875" bestFit="1" customWidth="1"/>
    <col min="12" max="12" width="11" bestFit="1" customWidth="1"/>
    <col min="13" max="13" width="10.140625" bestFit="1" customWidth="1"/>
    <col min="14" max="14" width="10.42578125" bestFit="1" customWidth="1"/>
    <col min="15" max="15" width="7.42578125" bestFit="1" customWidth="1"/>
    <col min="16" max="16" width="9.5703125" bestFit="1" customWidth="1"/>
    <col min="17" max="17" width="8.85546875" bestFit="1" customWidth="1"/>
    <col min="18" max="18" width="9.5703125" bestFit="1" customWidth="1"/>
    <col min="19" max="19" width="10.140625" bestFit="1" customWidth="1"/>
    <col min="20" max="20" width="9.42578125" bestFit="1" customWidth="1"/>
    <col min="21" max="21" width="13.85546875" bestFit="1" customWidth="1"/>
    <col min="22" max="22" width="9.42578125" bestFit="1" customWidth="1"/>
    <col min="23" max="23" width="11.140625" bestFit="1" customWidth="1"/>
    <col min="24" max="24" width="9.85546875" bestFit="1" customWidth="1"/>
    <col min="25" max="25" width="8.42578125" bestFit="1" customWidth="1"/>
    <col min="26" max="26" width="5.5703125" bestFit="1" customWidth="1"/>
    <col min="27" max="27" width="8.85546875" bestFit="1" customWidth="1"/>
    <col min="28" max="28" width="9" bestFit="1" customWidth="1"/>
    <col min="29" max="29" width="11" bestFit="1" customWidth="1"/>
    <col min="30" max="30" width="7.140625" bestFit="1" customWidth="1"/>
    <col min="31" max="32" width="9.5703125" bestFit="1" customWidth="1"/>
    <col min="33" max="33" width="11.85546875" bestFit="1" customWidth="1"/>
    <col min="34" max="34" width="12.42578125" bestFit="1" customWidth="1"/>
    <col min="35" max="35" width="10.5703125" bestFit="1" customWidth="1"/>
    <col min="36" max="36" width="9.42578125" bestFit="1" customWidth="1"/>
    <col min="37" max="37" width="17.42578125" bestFit="1" customWidth="1"/>
    <col min="38" max="38" width="10.5703125" bestFit="1" customWidth="1"/>
    <col min="39" max="39" width="9.42578125" bestFit="1" customWidth="1"/>
    <col min="40" max="40" width="7.140625" bestFit="1" customWidth="1"/>
    <col min="41" max="41" width="25.140625" bestFit="1" customWidth="1"/>
    <col min="42" max="42" width="9.140625" bestFit="1" customWidth="1"/>
    <col min="43" max="43" width="7" bestFit="1" customWidth="1"/>
    <col min="44" max="44" width="15.140625" bestFit="1" customWidth="1"/>
    <col min="45" max="45" width="10.5703125" bestFit="1" customWidth="1"/>
    <col min="46" max="46" width="12.42578125" bestFit="1" customWidth="1"/>
    <col min="47" max="47" width="6.140625" bestFit="1" customWidth="1"/>
    <col min="48" max="48" width="11" bestFit="1" customWidth="1"/>
    <col min="49" max="49" width="11.5703125" bestFit="1" customWidth="1"/>
    <col min="50" max="50" width="7.85546875" bestFit="1" customWidth="1"/>
    <col min="51" max="51" width="9.85546875" bestFit="1" customWidth="1"/>
    <col min="52" max="52" width="11" bestFit="1" customWidth="1"/>
    <col min="53" max="53" width="10.140625" bestFit="1" customWidth="1"/>
    <col min="54" max="54" width="10.42578125" bestFit="1" customWidth="1"/>
    <col min="55" max="55" width="7.42578125" bestFit="1" customWidth="1"/>
    <col min="56" max="56" width="9.5703125" bestFit="1" customWidth="1"/>
    <col min="57" max="57" width="8.85546875" bestFit="1" customWidth="1"/>
    <col min="58" max="58" width="9.5703125" bestFit="1" customWidth="1"/>
    <col min="59" max="59" width="10.140625" bestFit="1" customWidth="1"/>
    <col min="60" max="60" width="9.42578125" bestFit="1" customWidth="1"/>
    <col min="61" max="61" width="13.85546875" bestFit="1" customWidth="1"/>
    <col min="62" max="62" width="9.42578125" bestFit="1" customWidth="1"/>
    <col min="63" max="63" width="11.140625" bestFit="1" customWidth="1"/>
    <col min="64" max="64" width="9.85546875" bestFit="1" customWidth="1"/>
    <col min="65" max="65" width="8.42578125" bestFit="1" customWidth="1"/>
    <col min="66" max="66" width="5.5703125" bestFit="1" customWidth="1"/>
    <col min="67" max="67" width="8.85546875" bestFit="1" customWidth="1"/>
    <col min="68" max="68" width="9" bestFit="1" customWidth="1"/>
    <col min="69" max="69" width="11" bestFit="1" customWidth="1"/>
    <col min="70" max="70" width="7.140625" bestFit="1" customWidth="1"/>
    <col min="71" max="72" width="9.5703125" bestFit="1" customWidth="1"/>
    <col min="73" max="73" width="11.85546875" bestFit="1" customWidth="1"/>
    <col min="74" max="74" width="12.42578125" bestFit="1" customWidth="1"/>
    <col min="75" max="75" width="10.5703125" bestFit="1" customWidth="1"/>
    <col min="76" max="76" width="9.42578125" bestFit="1" customWidth="1"/>
    <col min="77" max="77" width="17.42578125" bestFit="1" customWidth="1"/>
    <col min="78" max="78" width="10.5703125" bestFit="1" customWidth="1"/>
    <col min="79" max="79" width="9.42578125" bestFit="1" customWidth="1"/>
    <col min="80" max="80" width="7.140625" bestFit="1" customWidth="1"/>
    <col min="81" max="81" width="39.42578125" bestFit="1" customWidth="1"/>
    <col min="82" max="82" width="9.140625" bestFit="1" customWidth="1"/>
    <col min="83" max="83" width="7" bestFit="1" customWidth="1"/>
    <col min="84" max="84" width="15.140625" bestFit="1" customWidth="1"/>
    <col min="85" max="85" width="10.5703125" bestFit="1" customWidth="1"/>
    <col min="86" max="86" width="12.42578125" bestFit="1" customWidth="1"/>
    <col min="87" max="87" width="6.140625" bestFit="1" customWidth="1"/>
    <col min="88" max="88" width="11" bestFit="1" customWidth="1"/>
    <col min="89" max="89" width="11.5703125" bestFit="1" customWidth="1"/>
    <col min="90" max="90" width="7.85546875" bestFit="1" customWidth="1"/>
    <col min="91" max="91" width="9.85546875" bestFit="1" customWidth="1"/>
    <col min="92" max="92" width="11" bestFit="1" customWidth="1"/>
    <col min="93" max="93" width="10.140625" bestFit="1" customWidth="1"/>
    <col min="94" max="94" width="10.42578125" bestFit="1" customWidth="1"/>
    <col min="95" max="95" width="7.42578125" bestFit="1" customWidth="1"/>
    <col min="96" max="96" width="9.5703125" bestFit="1" customWidth="1"/>
    <col min="97" max="97" width="8.85546875" bestFit="1" customWidth="1"/>
    <col min="98" max="98" width="9.5703125" bestFit="1" customWidth="1"/>
    <col min="99" max="99" width="10.140625" bestFit="1" customWidth="1"/>
    <col min="100" max="100" width="9.42578125" bestFit="1" customWidth="1"/>
    <col min="101" max="101" width="13.85546875" bestFit="1" customWidth="1"/>
    <col min="102" max="102" width="9.42578125" bestFit="1" customWidth="1"/>
    <col min="103" max="103" width="11.140625" bestFit="1" customWidth="1"/>
    <col min="104" max="104" width="9.85546875" bestFit="1" customWidth="1"/>
    <col min="105" max="105" width="8.42578125" bestFit="1" customWidth="1"/>
    <col min="106" max="106" width="5.5703125" bestFit="1" customWidth="1"/>
    <col min="107" max="107" width="8.85546875" bestFit="1" customWidth="1"/>
    <col min="108" max="108" width="9" bestFit="1" customWidth="1"/>
    <col min="109" max="109" width="11" bestFit="1" customWidth="1"/>
    <col min="110" max="110" width="7.140625" bestFit="1" customWidth="1"/>
    <col min="111" max="112" width="9.5703125" bestFit="1" customWidth="1"/>
    <col min="113" max="113" width="11.85546875" bestFit="1" customWidth="1"/>
    <col min="114" max="114" width="12.42578125" bestFit="1" customWidth="1"/>
    <col min="115" max="115" width="10.5703125" bestFit="1" customWidth="1"/>
    <col min="116" max="116" width="9.42578125" bestFit="1" customWidth="1"/>
    <col min="117" max="117" width="17.42578125" bestFit="1" customWidth="1"/>
    <col min="118" max="118" width="10.5703125" bestFit="1" customWidth="1"/>
    <col min="119" max="119" width="9.42578125" bestFit="1" customWidth="1"/>
    <col min="120" max="120" width="7.140625" bestFit="1" customWidth="1"/>
    <col min="121" max="121" width="29.5703125" bestFit="1" customWidth="1"/>
    <col min="122" max="122" width="30" bestFit="1" customWidth="1"/>
    <col min="123" max="123" width="44.140625" bestFit="1" customWidth="1"/>
  </cols>
  <sheetData>
    <row r="2" spans="1:4" x14ac:dyDescent="0.25">
      <c r="A2" s="14" t="s">
        <v>50</v>
      </c>
      <c r="B2" t="s">
        <v>615</v>
      </c>
      <c r="C2" t="s">
        <v>616</v>
      </c>
    </row>
    <row r="3" spans="1:4" x14ac:dyDescent="0.25">
      <c r="A3" s="14" t="s">
        <v>57</v>
      </c>
      <c r="B3" t="s">
        <v>615</v>
      </c>
      <c r="C3" t="s">
        <v>617</v>
      </c>
    </row>
    <row r="4" spans="1:4" ht="15" customHeight="1" x14ac:dyDescent="0.25">
      <c r="A4" s="14" t="s">
        <v>13</v>
      </c>
      <c r="B4" t="s">
        <v>615</v>
      </c>
      <c r="C4" t="s">
        <v>618</v>
      </c>
    </row>
    <row r="5" spans="1:4" ht="56.45" customHeight="1" x14ac:dyDescent="0.25"/>
    <row r="6" spans="1:4" ht="75" x14ac:dyDescent="0.25">
      <c r="A6" s="14" t="s">
        <v>619</v>
      </c>
      <c r="B6" s="15" t="s">
        <v>620</v>
      </c>
      <c r="C6" s="15" t="s">
        <v>621</v>
      </c>
      <c r="D6" s="15" t="s">
        <v>622</v>
      </c>
    </row>
    <row r="7" spans="1:4" x14ac:dyDescent="0.25">
      <c r="A7" s="3" t="s">
        <v>147</v>
      </c>
      <c r="B7">
        <v>5</v>
      </c>
      <c r="C7">
        <v>19</v>
      </c>
      <c r="D7">
        <v>255</v>
      </c>
    </row>
    <row r="8" spans="1:4" x14ac:dyDescent="0.25">
      <c r="A8" s="3" t="s">
        <v>184</v>
      </c>
      <c r="B8">
        <v>5</v>
      </c>
      <c r="C8">
        <v>18</v>
      </c>
      <c r="D8">
        <v>425</v>
      </c>
    </row>
    <row r="9" spans="1:4" x14ac:dyDescent="0.25">
      <c r="A9" s="3" t="s">
        <v>125</v>
      </c>
      <c r="B9">
        <v>5</v>
      </c>
      <c r="C9">
        <v>18</v>
      </c>
      <c r="D9">
        <v>395</v>
      </c>
    </row>
    <row r="10" spans="1:4" x14ac:dyDescent="0.25">
      <c r="A10" s="3" t="s">
        <v>140</v>
      </c>
      <c r="B10">
        <v>5</v>
      </c>
      <c r="C10">
        <v>18</v>
      </c>
      <c r="D10">
        <v>939</v>
      </c>
    </row>
    <row r="11" spans="1:4" x14ac:dyDescent="0.25">
      <c r="A11" s="3" t="s">
        <v>271</v>
      </c>
      <c r="B11">
        <v>5</v>
      </c>
      <c r="C11">
        <v>18</v>
      </c>
      <c r="D11">
        <v>67.2</v>
      </c>
    </row>
    <row r="12" spans="1:4" x14ac:dyDescent="0.25">
      <c r="A12" s="3" t="s">
        <v>248</v>
      </c>
      <c r="B12">
        <v>5</v>
      </c>
      <c r="C12">
        <v>18</v>
      </c>
      <c r="D12">
        <v>431</v>
      </c>
    </row>
    <row r="13" spans="1:4" x14ac:dyDescent="0.25">
      <c r="A13" s="3" t="s">
        <v>136</v>
      </c>
      <c r="B13">
        <v>5</v>
      </c>
      <c r="C13">
        <v>17</v>
      </c>
      <c r="D13">
        <v>901</v>
      </c>
    </row>
    <row r="14" spans="1:4" x14ac:dyDescent="0.25">
      <c r="A14" s="3" t="s">
        <v>596</v>
      </c>
      <c r="B14">
        <v>5</v>
      </c>
      <c r="C14">
        <v>17</v>
      </c>
      <c r="D14">
        <v>548</v>
      </c>
    </row>
    <row r="15" spans="1:4" x14ac:dyDescent="0.25">
      <c r="A15" s="3" t="s">
        <v>83</v>
      </c>
      <c r="B15">
        <v>5</v>
      </c>
      <c r="C15">
        <v>17</v>
      </c>
      <c r="D15">
        <v>303.8</v>
      </c>
    </row>
    <row r="16" spans="1:4" x14ac:dyDescent="0.25">
      <c r="A16" s="3" t="s">
        <v>578</v>
      </c>
      <c r="B16">
        <v>5</v>
      </c>
      <c r="C16">
        <v>17</v>
      </c>
      <c r="D16">
        <v>289</v>
      </c>
    </row>
    <row r="17" spans="1:4" x14ac:dyDescent="0.25">
      <c r="A17" s="3" t="s">
        <v>114</v>
      </c>
      <c r="B17">
        <v>5</v>
      </c>
      <c r="C17">
        <v>17</v>
      </c>
      <c r="D17">
        <v>69.599999999999994</v>
      </c>
    </row>
    <row r="18" spans="1:4" x14ac:dyDescent="0.25">
      <c r="A18" s="3" t="s">
        <v>87</v>
      </c>
      <c r="B18">
        <v>5</v>
      </c>
      <c r="C18">
        <v>17</v>
      </c>
      <c r="D18">
        <v>174.18</v>
      </c>
    </row>
    <row r="19" spans="1:4" x14ac:dyDescent="0.25">
      <c r="A19" s="3" t="s">
        <v>222</v>
      </c>
      <c r="B19">
        <v>5</v>
      </c>
      <c r="C19">
        <v>17</v>
      </c>
    </row>
    <row r="20" spans="1:4" x14ac:dyDescent="0.25">
      <c r="A20" s="3" t="s">
        <v>195</v>
      </c>
      <c r="B20">
        <v>3</v>
      </c>
      <c r="C20">
        <v>16</v>
      </c>
      <c r="D20">
        <v>410.4</v>
      </c>
    </row>
    <row r="21" spans="1:4" x14ac:dyDescent="0.25">
      <c r="A21" s="3" t="s">
        <v>143</v>
      </c>
      <c r="B21">
        <v>5</v>
      </c>
      <c r="C21">
        <v>16</v>
      </c>
      <c r="D21">
        <v>447.1</v>
      </c>
    </row>
    <row r="22" spans="1:4" x14ac:dyDescent="0.25">
      <c r="A22" s="3" t="s">
        <v>177</v>
      </c>
      <c r="B22">
        <v>5</v>
      </c>
      <c r="C22">
        <v>16</v>
      </c>
      <c r="D22">
        <v>928</v>
      </c>
    </row>
    <row r="23" spans="1:4" x14ac:dyDescent="0.25">
      <c r="A23" s="3" t="s">
        <v>244</v>
      </c>
      <c r="B23">
        <v>5</v>
      </c>
      <c r="C23">
        <v>16</v>
      </c>
      <c r="D23">
        <v>1221</v>
      </c>
    </row>
    <row r="24" spans="1:4" x14ac:dyDescent="0.25">
      <c r="A24" s="3" t="s">
        <v>295</v>
      </c>
      <c r="B24">
        <v>5</v>
      </c>
      <c r="C24">
        <v>16</v>
      </c>
      <c r="D24">
        <v>749</v>
      </c>
    </row>
    <row r="25" spans="1:4" x14ac:dyDescent="0.25">
      <c r="A25" s="3" t="s">
        <v>590</v>
      </c>
      <c r="B25">
        <v>5</v>
      </c>
      <c r="C25">
        <v>16</v>
      </c>
      <c r="D25">
        <v>563</v>
      </c>
    </row>
    <row r="26" spans="1:4" x14ac:dyDescent="0.25">
      <c r="A26" s="3" t="s">
        <v>203</v>
      </c>
      <c r="B26">
        <v>5</v>
      </c>
      <c r="C26">
        <v>16</v>
      </c>
      <c r="D26">
        <v>122.2</v>
      </c>
    </row>
    <row r="27" spans="1:4" x14ac:dyDescent="0.25">
      <c r="A27" s="3" t="s">
        <v>376</v>
      </c>
      <c r="B27">
        <v>5</v>
      </c>
      <c r="C27">
        <v>16</v>
      </c>
      <c r="D27">
        <v>211.5</v>
      </c>
    </row>
    <row r="28" spans="1:4" x14ac:dyDescent="0.25">
      <c r="A28" s="3" t="s">
        <v>119</v>
      </c>
      <c r="B28">
        <v>5</v>
      </c>
      <c r="C28">
        <v>16</v>
      </c>
      <c r="D28">
        <v>735.6</v>
      </c>
    </row>
    <row r="29" spans="1:4" x14ac:dyDescent="0.25">
      <c r="A29" s="3" t="s">
        <v>352</v>
      </c>
      <c r="B29">
        <v>3</v>
      </c>
      <c r="C29">
        <v>16</v>
      </c>
      <c r="D29">
        <v>315</v>
      </c>
    </row>
    <row r="30" spans="1:4" x14ac:dyDescent="0.25">
      <c r="A30" s="3" t="s">
        <v>407</v>
      </c>
      <c r="B30">
        <v>5</v>
      </c>
      <c r="C30">
        <v>16</v>
      </c>
      <c r="D30">
        <v>165.60000000000002</v>
      </c>
    </row>
    <row r="31" spans="1:4" x14ac:dyDescent="0.25">
      <c r="A31" s="3" t="s">
        <v>159</v>
      </c>
      <c r="B31">
        <v>5</v>
      </c>
      <c r="C31">
        <v>16</v>
      </c>
      <c r="D31">
        <v>143</v>
      </c>
    </row>
    <row r="32" spans="1:4" x14ac:dyDescent="0.25">
      <c r="A32" s="3" t="s">
        <v>623</v>
      </c>
      <c r="B32">
        <v>3</v>
      </c>
      <c r="C32">
        <v>16</v>
      </c>
      <c r="D32">
        <v>151.6</v>
      </c>
    </row>
    <row r="33" spans="1:4" x14ac:dyDescent="0.25">
      <c r="A33" s="3" t="s">
        <v>98</v>
      </c>
      <c r="B33">
        <v>5</v>
      </c>
      <c r="C33">
        <v>16</v>
      </c>
      <c r="D33">
        <v>277.64</v>
      </c>
    </row>
    <row r="34" spans="1:4" x14ac:dyDescent="0.25">
      <c r="A34" s="3" t="s">
        <v>408</v>
      </c>
      <c r="B34">
        <v>5</v>
      </c>
      <c r="C34">
        <v>16</v>
      </c>
      <c r="D34">
        <v>165.60000000000002</v>
      </c>
    </row>
    <row r="35" spans="1:4" x14ac:dyDescent="0.25">
      <c r="A35" s="3" t="s">
        <v>287</v>
      </c>
      <c r="B35">
        <v>5</v>
      </c>
      <c r="C35">
        <v>16</v>
      </c>
      <c r="D35">
        <v>372.2</v>
      </c>
    </row>
    <row r="36" spans="1:4" x14ac:dyDescent="0.25">
      <c r="A36" s="3" t="s">
        <v>582</v>
      </c>
      <c r="B36">
        <v>3</v>
      </c>
      <c r="C36">
        <v>16</v>
      </c>
      <c r="D36">
        <v>1235</v>
      </c>
    </row>
    <row r="37" spans="1:4" x14ac:dyDescent="0.25">
      <c r="A37" s="3" t="s">
        <v>187</v>
      </c>
      <c r="B37">
        <v>5</v>
      </c>
      <c r="C37">
        <v>16</v>
      </c>
      <c r="D37">
        <v>450.5</v>
      </c>
    </row>
    <row r="38" spans="1:4" x14ac:dyDescent="0.25">
      <c r="A38" s="3" t="s">
        <v>624</v>
      </c>
      <c r="B38">
        <v>5</v>
      </c>
      <c r="C38">
        <v>16</v>
      </c>
      <c r="D38">
        <v>1269</v>
      </c>
    </row>
    <row r="39" spans="1:4" x14ac:dyDescent="0.25">
      <c r="A39" s="3" t="s">
        <v>625</v>
      </c>
      <c r="B39">
        <v>5</v>
      </c>
      <c r="C39">
        <v>16</v>
      </c>
      <c r="D39">
        <v>251</v>
      </c>
    </row>
    <row r="40" spans="1:4" x14ac:dyDescent="0.25">
      <c r="A40" s="3" t="s">
        <v>390</v>
      </c>
      <c r="B40">
        <v>5</v>
      </c>
      <c r="C40">
        <v>15</v>
      </c>
      <c r="D40">
        <v>153.30000000000001</v>
      </c>
    </row>
    <row r="41" spans="1:4" x14ac:dyDescent="0.25">
      <c r="A41" s="3" t="s">
        <v>626</v>
      </c>
      <c r="B41">
        <v>3</v>
      </c>
      <c r="C41">
        <v>15</v>
      </c>
      <c r="D41">
        <v>1161</v>
      </c>
    </row>
    <row r="42" spans="1:4" x14ac:dyDescent="0.25">
      <c r="A42" s="3" t="s">
        <v>230</v>
      </c>
      <c r="B42">
        <v>5</v>
      </c>
      <c r="C42">
        <v>15</v>
      </c>
      <c r="D42">
        <v>310</v>
      </c>
    </row>
    <row r="43" spans="1:4" x14ac:dyDescent="0.25">
      <c r="A43" s="3" t="s">
        <v>404</v>
      </c>
      <c r="B43">
        <v>5</v>
      </c>
      <c r="C43">
        <v>15</v>
      </c>
      <c r="D43">
        <v>228.2</v>
      </c>
    </row>
    <row r="44" spans="1:4" x14ac:dyDescent="0.25">
      <c r="A44" s="3" t="s">
        <v>315</v>
      </c>
      <c r="B44">
        <v>5</v>
      </c>
      <c r="C44">
        <v>15</v>
      </c>
      <c r="D44">
        <v>199</v>
      </c>
    </row>
    <row r="45" spans="1:4" x14ac:dyDescent="0.25">
      <c r="A45" s="3" t="s">
        <v>121</v>
      </c>
      <c r="B45">
        <v>5</v>
      </c>
      <c r="C45">
        <v>15</v>
      </c>
      <c r="D45">
        <v>449.6</v>
      </c>
    </row>
    <row r="46" spans="1:4" x14ac:dyDescent="0.25">
      <c r="A46" s="3" t="s">
        <v>150</v>
      </c>
      <c r="B46">
        <v>3</v>
      </c>
      <c r="C46">
        <v>15</v>
      </c>
      <c r="D46">
        <v>525</v>
      </c>
    </row>
    <row r="47" spans="1:4" x14ac:dyDescent="0.25">
      <c r="A47" s="3" t="s">
        <v>574</v>
      </c>
      <c r="B47">
        <v>3</v>
      </c>
      <c r="C47">
        <v>15</v>
      </c>
      <c r="D47">
        <v>980</v>
      </c>
    </row>
    <row r="48" spans="1:4" x14ac:dyDescent="0.25">
      <c r="A48" s="3" t="s">
        <v>207</v>
      </c>
      <c r="B48">
        <v>5</v>
      </c>
      <c r="C48">
        <v>15</v>
      </c>
      <c r="D48">
        <v>122.2</v>
      </c>
    </row>
    <row r="49" spans="1:4" x14ac:dyDescent="0.25">
      <c r="A49" s="3" t="s">
        <v>491</v>
      </c>
      <c r="B49">
        <v>5</v>
      </c>
      <c r="C49">
        <v>15</v>
      </c>
    </row>
    <row r="50" spans="1:4" x14ac:dyDescent="0.25">
      <c r="A50" s="3" t="s">
        <v>181</v>
      </c>
      <c r="B50">
        <v>5</v>
      </c>
      <c r="C50">
        <v>15</v>
      </c>
      <c r="D50">
        <v>800</v>
      </c>
    </row>
    <row r="51" spans="1:4" x14ac:dyDescent="0.25">
      <c r="A51" s="3" t="s">
        <v>276</v>
      </c>
      <c r="B51">
        <v>5</v>
      </c>
      <c r="C51">
        <v>15</v>
      </c>
      <c r="D51">
        <v>242.2</v>
      </c>
    </row>
    <row r="52" spans="1:4" x14ac:dyDescent="0.25">
      <c r="A52" s="3" t="s">
        <v>321</v>
      </c>
      <c r="B52">
        <v>3</v>
      </c>
      <c r="C52">
        <v>15</v>
      </c>
      <c r="D52">
        <v>200</v>
      </c>
    </row>
    <row r="53" spans="1:4" x14ac:dyDescent="0.25">
      <c r="A53" s="3" t="s">
        <v>165</v>
      </c>
      <c r="B53">
        <v>3</v>
      </c>
      <c r="C53">
        <v>15</v>
      </c>
      <c r="D53">
        <v>550.29999999999995</v>
      </c>
    </row>
    <row r="54" spans="1:4" x14ac:dyDescent="0.25">
      <c r="A54" s="3" t="s">
        <v>267</v>
      </c>
      <c r="B54">
        <v>5</v>
      </c>
      <c r="C54">
        <v>15</v>
      </c>
      <c r="D54">
        <v>448.2</v>
      </c>
    </row>
    <row r="55" spans="1:4" x14ac:dyDescent="0.25">
      <c r="A55" s="3" t="s">
        <v>462</v>
      </c>
      <c r="B55">
        <v>3</v>
      </c>
      <c r="C55">
        <v>15</v>
      </c>
      <c r="D55">
        <v>440.6</v>
      </c>
    </row>
    <row r="56" spans="1:4" x14ac:dyDescent="0.25">
      <c r="A56" s="3" t="s">
        <v>401</v>
      </c>
      <c r="B56">
        <v>5</v>
      </c>
      <c r="C56">
        <v>15</v>
      </c>
      <c r="D56">
        <v>92.64</v>
      </c>
    </row>
    <row r="57" spans="1:4" x14ac:dyDescent="0.25">
      <c r="A57" s="3" t="s">
        <v>399</v>
      </c>
      <c r="B57">
        <v>5</v>
      </c>
      <c r="C57">
        <v>15</v>
      </c>
      <c r="D57">
        <v>447</v>
      </c>
    </row>
    <row r="58" spans="1:4" x14ac:dyDescent="0.25">
      <c r="A58" s="3" t="s">
        <v>567</v>
      </c>
      <c r="B58">
        <v>5</v>
      </c>
      <c r="C58">
        <v>14</v>
      </c>
      <c r="D58">
        <v>141.19999999999999</v>
      </c>
    </row>
    <row r="59" spans="1:4" x14ac:dyDescent="0.25">
      <c r="A59" s="3" t="s">
        <v>450</v>
      </c>
      <c r="B59">
        <v>5</v>
      </c>
      <c r="C59">
        <v>14</v>
      </c>
      <c r="D59">
        <v>202.2</v>
      </c>
    </row>
    <row r="60" spans="1:4" x14ac:dyDescent="0.25">
      <c r="A60" s="3" t="s">
        <v>502</v>
      </c>
      <c r="B60">
        <v>5</v>
      </c>
      <c r="C60">
        <v>14</v>
      </c>
      <c r="D60">
        <v>68.100000000000009</v>
      </c>
    </row>
    <row r="61" spans="1:4" x14ac:dyDescent="0.25">
      <c r="A61" s="21" t="s">
        <v>236</v>
      </c>
      <c r="B61">
        <v>3</v>
      </c>
      <c r="C61">
        <v>14</v>
      </c>
      <c r="D61">
        <v>1210.5999999999999</v>
      </c>
    </row>
    <row r="62" spans="1:4" x14ac:dyDescent="0.25">
      <c r="A62" s="3" t="s">
        <v>446</v>
      </c>
      <c r="B62">
        <v>5</v>
      </c>
      <c r="C62">
        <v>14</v>
      </c>
      <c r="D62">
        <v>170.2</v>
      </c>
    </row>
    <row r="63" spans="1:4" x14ac:dyDescent="0.25">
      <c r="A63" s="3" t="s">
        <v>361</v>
      </c>
      <c r="B63">
        <v>3</v>
      </c>
      <c r="C63">
        <v>14</v>
      </c>
      <c r="D63">
        <v>72</v>
      </c>
    </row>
    <row r="64" spans="1:4" x14ac:dyDescent="0.25">
      <c r="A64" s="3" t="s">
        <v>482</v>
      </c>
      <c r="B64">
        <v>5</v>
      </c>
      <c r="C64">
        <v>14</v>
      </c>
    </row>
    <row r="65" spans="1:4" x14ac:dyDescent="0.25">
      <c r="A65" s="3" t="s">
        <v>564</v>
      </c>
      <c r="B65">
        <v>5</v>
      </c>
      <c r="C65">
        <v>14</v>
      </c>
      <c r="D65">
        <v>288.2</v>
      </c>
    </row>
    <row r="66" spans="1:4" x14ac:dyDescent="0.25">
      <c r="A66" s="3" t="s">
        <v>102</v>
      </c>
      <c r="B66">
        <v>5</v>
      </c>
      <c r="C66">
        <v>14</v>
      </c>
      <c r="D66">
        <v>426.2</v>
      </c>
    </row>
    <row r="67" spans="1:4" x14ac:dyDescent="0.25">
      <c r="A67" s="3" t="s">
        <v>496</v>
      </c>
      <c r="B67">
        <v>5</v>
      </c>
      <c r="C67">
        <v>14</v>
      </c>
      <c r="D67">
        <v>42.6</v>
      </c>
    </row>
    <row r="68" spans="1:4" x14ac:dyDescent="0.25">
      <c r="A68" s="3" t="s">
        <v>303</v>
      </c>
      <c r="B68">
        <v>5</v>
      </c>
      <c r="C68">
        <v>14</v>
      </c>
      <c r="D68">
        <v>270.35000000000002</v>
      </c>
    </row>
    <row r="69" spans="1:4" x14ac:dyDescent="0.25">
      <c r="A69" s="3" t="s">
        <v>398</v>
      </c>
      <c r="B69">
        <v>5</v>
      </c>
      <c r="C69">
        <v>14</v>
      </c>
      <c r="D69">
        <v>148.1</v>
      </c>
    </row>
    <row r="70" spans="1:4" x14ac:dyDescent="0.25">
      <c r="A70" s="3" t="s">
        <v>254</v>
      </c>
      <c r="B70">
        <v>5</v>
      </c>
      <c r="C70">
        <v>14</v>
      </c>
      <c r="D70">
        <v>455</v>
      </c>
    </row>
    <row r="71" spans="1:4" x14ac:dyDescent="0.25">
      <c r="A71" s="3" t="s">
        <v>627</v>
      </c>
      <c r="B71">
        <v>3</v>
      </c>
      <c r="C71">
        <v>14</v>
      </c>
      <c r="D71">
        <v>187.35000000000002</v>
      </c>
    </row>
    <row r="72" spans="1:4" x14ac:dyDescent="0.25">
      <c r="A72" s="3" t="s">
        <v>380</v>
      </c>
      <c r="B72">
        <v>5</v>
      </c>
      <c r="C72">
        <v>14</v>
      </c>
      <c r="D72">
        <v>98</v>
      </c>
    </row>
    <row r="73" spans="1:4" x14ac:dyDescent="0.25">
      <c r="A73" s="3" t="s">
        <v>209</v>
      </c>
      <c r="B73">
        <v>5</v>
      </c>
      <c r="C73">
        <v>14</v>
      </c>
      <c r="D73">
        <v>122.2</v>
      </c>
    </row>
    <row r="74" spans="1:4" x14ac:dyDescent="0.25">
      <c r="A74" s="3" t="s">
        <v>106</v>
      </c>
      <c r="B74">
        <v>3</v>
      </c>
      <c r="C74">
        <v>14</v>
      </c>
      <c r="D74">
        <v>583.6</v>
      </c>
    </row>
    <row r="75" spans="1:4" x14ac:dyDescent="0.25">
      <c r="A75" s="3" t="s">
        <v>409</v>
      </c>
      <c r="B75">
        <v>5</v>
      </c>
      <c r="C75">
        <v>14</v>
      </c>
      <c r="D75">
        <v>165.60000000000002</v>
      </c>
    </row>
    <row r="76" spans="1:4" x14ac:dyDescent="0.25">
      <c r="A76" s="3" t="s">
        <v>328</v>
      </c>
      <c r="B76">
        <v>5</v>
      </c>
      <c r="C76">
        <v>14</v>
      </c>
      <c r="D76">
        <v>306.3</v>
      </c>
    </row>
    <row r="77" spans="1:4" x14ac:dyDescent="0.25">
      <c r="A77" s="3" t="s">
        <v>339</v>
      </c>
      <c r="B77">
        <v>3</v>
      </c>
      <c r="C77">
        <v>14</v>
      </c>
      <c r="D77">
        <v>262.5</v>
      </c>
    </row>
    <row r="78" spans="1:4" x14ac:dyDescent="0.25">
      <c r="A78" s="3" t="s">
        <v>240</v>
      </c>
      <c r="B78">
        <v>3</v>
      </c>
      <c r="C78">
        <v>13</v>
      </c>
      <c r="D78">
        <v>1113</v>
      </c>
    </row>
    <row r="79" spans="1:4" x14ac:dyDescent="0.25">
      <c r="A79" s="3" t="s">
        <v>387</v>
      </c>
      <c r="B79">
        <v>3</v>
      </c>
      <c r="C79">
        <v>13</v>
      </c>
      <c r="D79">
        <v>282</v>
      </c>
    </row>
    <row r="80" spans="1:4" x14ac:dyDescent="0.25">
      <c r="A80" s="3" t="s">
        <v>298</v>
      </c>
      <c r="B80">
        <v>3</v>
      </c>
      <c r="C80">
        <v>13</v>
      </c>
      <c r="D80">
        <v>642</v>
      </c>
    </row>
    <row r="81" spans="1:4" x14ac:dyDescent="0.25">
      <c r="A81" s="3" t="s">
        <v>518</v>
      </c>
      <c r="B81">
        <v>5</v>
      </c>
      <c r="C81">
        <v>13</v>
      </c>
    </row>
    <row r="82" spans="1:4" x14ac:dyDescent="0.25">
      <c r="A82" s="3" t="s">
        <v>94</v>
      </c>
      <c r="B82">
        <v>3</v>
      </c>
      <c r="C82">
        <v>13</v>
      </c>
      <c r="D82">
        <v>469.64</v>
      </c>
    </row>
    <row r="83" spans="1:4" x14ac:dyDescent="0.25">
      <c r="A83" s="3" t="s">
        <v>628</v>
      </c>
      <c r="B83">
        <v>3</v>
      </c>
      <c r="C83">
        <v>13</v>
      </c>
      <c r="D83">
        <v>644</v>
      </c>
    </row>
    <row r="84" spans="1:4" x14ac:dyDescent="0.25">
      <c r="A84" s="3" t="s">
        <v>436</v>
      </c>
      <c r="B84">
        <v>5</v>
      </c>
      <c r="C84">
        <v>13</v>
      </c>
      <c r="D84">
        <v>92.64</v>
      </c>
    </row>
    <row r="85" spans="1:4" x14ac:dyDescent="0.25">
      <c r="A85" s="3" t="s">
        <v>384</v>
      </c>
      <c r="B85">
        <v>5</v>
      </c>
      <c r="C85">
        <v>13</v>
      </c>
    </row>
    <row r="86" spans="1:4" x14ac:dyDescent="0.25">
      <c r="A86" s="3" t="s">
        <v>213</v>
      </c>
      <c r="B86">
        <v>3</v>
      </c>
      <c r="C86">
        <v>13</v>
      </c>
      <c r="D86">
        <v>294</v>
      </c>
    </row>
    <row r="87" spans="1:4" x14ac:dyDescent="0.25">
      <c r="A87" s="3" t="s">
        <v>359</v>
      </c>
      <c r="B87">
        <v>3</v>
      </c>
      <c r="C87">
        <v>13</v>
      </c>
      <c r="D87">
        <v>455.6</v>
      </c>
    </row>
    <row r="88" spans="1:4" x14ac:dyDescent="0.25">
      <c r="A88" s="3" t="s">
        <v>198</v>
      </c>
      <c r="B88">
        <v>3</v>
      </c>
      <c r="C88">
        <v>13</v>
      </c>
      <c r="D88">
        <v>567.4</v>
      </c>
    </row>
    <row r="89" spans="1:4" x14ac:dyDescent="0.25">
      <c r="A89" s="3" t="s">
        <v>510</v>
      </c>
      <c r="B89">
        <v>3</v>
      </c>
      <c r="C89">
        <v>13</v>
      </c>
      <c r="D89">
        <v>880</v>
      </c>
    </row>
    <row r="90" spans="1:4" x14ac:dyDescent="0.25">
      <c r="A90" s="3" t="s">
        <v>301</v>
      </c>
      <c r="B90">
        <v>5</v>
      </c>
      <c r="C90">
        <v>13</v>
      </c>
      <c r="D90">
        <v>243.35000000000002</v>
      </c>
    </row>
    <row r="91" spans="1:4" x14ac:dyDescent="0.25">
      <c r="A91" s="3" t="s">
        <v>356</v>
      </c>
      <c r="B91">
        <v>3</v>
      </c>
      <c r="C91">
        <v>13</v>
      </c>
      <c r="D91">
        <v>498.6</v>
      </c>
    </row>
    <row r="92" spans="1:4" x14ac:dyDescent="0.25">
      <c r="A92" s="3" t="s">
        <v>218</v>
      </c>
      <c r="B92">
        <v>5</v>
      </c>
      <c r="C92">
        <v>13</v>
      </c>
      <c r="D92">
        <v>66</v>
      </c>
    </row>
    <row r="93" spans="1:4" x14ac:dyDescent="0.25">
      <c r="A93" s="3" t="s">
        <v>419</v>
      </c>
      <c r="B93">
        <v>3</v>
      </c>
      <c r="C93">
        <v>13</v>
      </c>
      <c r="D93">
        <v>583</v>
      </c>
    </row>
    <row r="94" spans="1:4" x14ac:dyDescent="0.25">
      <c r="A94" s="3" t="s">
        <v>396</v>
      </c>
      <c r="B94">
        <v>5</v>
      </c>
      <c r="C94">
        <v>13</v>
      </c>
      <c r="D94">
        <v>148.1</v>
      </c>
    </row>
    <row r="95" spans="1:4" x14ac:dyDescent="0.25">
      <c r="A95" s="3" t="s">
        <v>370</v>
      </c>
      <c r="B95">
        <v>5</v>
      </c>
      <c r="C95">
        <v>13</v>
      </c>
      <c r="D95">
        <v>299.5</v>
      </c>
    </row>
    <row r="96" spans="1:4" x14ac:dyDescent="0.25">
      <c r="A96" s="3" t="s">
        <v>413</v>
      </c>
      <c r="B96">
        <v>3</v>
      </c>
      <c r="C96">
        <v>13</v>
      </c>
      <c r="D96">
        <v>230</v>
      </c>
    </row>
    <row r="97" spans="1:4" x14ac:dyDescent="0.25">
      <c r="A97" s="3" t="s">
        <v>464</v>
      </c>
      <c r="B97">
        <v>5</v>
      </c>
      <c r="C97">
        <v>13</v>
      </c>
      <c r="D97">
        <v>245.60000000000002</v>
      </c>
    </row>
    <row r="98" spans="1:4" x14ac:dyDescent="0.25">
      <c r="A98" s="3" t="s">
        <v>423</v>
      </c>
      <c r="B98">
        <v>5</v>
      </c>
      <c r="C98">
        <v>13</v>
      </c>
      <c r="D98">
        <v>77.2</v>
      </c>
    </row>
    <row r="99" spans="1:4" x14ac:dyDescent="0.25">
      <c r="A99" s="3" t="s">
        <v>506</v>
      </c>
      <c r="B99">
        <v>5</v>
      </c>
      <c r="C99">
        <v>12</v>
      </c>
    </row>
    <row r="100" spans="1:4" x14ac:dyDescent="0.25">
      <c r="A100" s="3" t="s">
        <v>191</v>
      </c>
      <c r="B100">
        <v>3</v>
      </c>
      <c r="C100">
        <v>12</v>
      </c>
      <c r="D100">
        <v>387.4</v>
      </c>
    </row>
    <row r="101" spans="1:4" x14ac:dyDescent="0.25">
      <c r="A101" s="3" t="s">
        <v>332</v>
      </c>
      <c r="B101">
        <v>5</v>
      </c>
      <c r="C101">
        <v>12</v>
      </c>
      <c r="D101">
        <v>312.3</v>
      </c>
    </row>
    <row r="102" spans="1:4" x14ac:dyDescent="0.25">
      <c r="A102" s="3" t="s">
        <v>433</v>
      </c>
      <c r="B102">
        <v>5</v>
      </c>
      <c r="C102">
        <v>12</v>
      </c>
      <c r="D102">
        <v>67.2</v>
      </c>
    </row>
    <row r="103" spans="1:4" x14ac:dyDescent="0.25">
      <c r="A103" s="3" t="s">
        <v>373</v>
      </c>
      <c r="B103">
        <v>3</v>
      </c>
      <c r="C103">
        <v>12</v>
      </c>
      <c r="D103">
        <v>407.5</v>
      </c>
    </row>
    <row r="104" spans="1:4" x14ac:dyDescent="0.25">
      <c r="A104" s="3" t="s">
        <v>442</v>
      </c>
      <c r="B104">
        <v>5</v>
      </c>
      <c r="C104">
        <v>12</v>
      </c>
      <c r="D104">
        <v>170.2</v>
      </c>
    </row>
    <row r="105" spans="1:4" x14ac:dyDescent="0.25">
      <c r="A105" s="3" t="s">
        <v>283</v>
      </c>
      <c r="B105">
        <v>5</v>
      </c>
      <c r="C105">
        <v>11</v>
      </c>
      <c r="D105">
        <v>387.64</v>
      </c>
    </row>
    <row r="106" spans="1:4" x14ac:dyDescent="0.25">
      <c r="A106" s="3" t="s">
        <v>539</v>
      </c>
      <c r="B106">
        <v>3</v>
      </c>
      <c r="C106">
        <v>10</v>
      </c>
      <c r="D106">
        <v>336.6</v>
      </c>
    </row>
    <row r="107" spans="1:4" x14ac:dyDescent="0.25">
      <c r="A107" s="3" t="s">
        <v>527</v>
      </c>
      <c r="B107">
        <v>5</v>
      </c>
      <c r="C107">
        <v>10</v>
      </c>
      <c r="D107">
        <v>87.600000000000009</v>
      </c>
    </row>
    <row r="108" spans="1:4" x14ac:dyDescent="0.25">
      <c r="A108" s="3" t="s">
        <v>472</v>
      </c>
      <c r="B108">
        <v>3</v>
      </c>
      <c r="C108">
        <v>9</v>
      </c>
    </row>
    <row r="109" spans="1:4" x14ac:dyDescent="0.25">
      <c r="A109" s="3" t="s">
        <v>547</v>
      </c>
      <c r="B109">
        <v>3</v>
      </c>
      <c r="C109">
        <v>9</v>
      </c>
      <c r="D109">
        <v>154</v>
      </c>
    </row>
    <row r="110" spans="1:4" x14ac:dyDescent="0.25">
      <c r="A110" s="3" t="s">
        <v>477</v>
      </c>
      <c r="B110">
        <v>3</v>
      </c>
      <c r="C110">
        <v>9</v>
      </c>
    </row>
    <row r="111" spans="1:4" x14ac:dyDescent="0.25">
      <c r="A111" s="3" t="s">
        <v>516</v>
      </c>
      <c r="B111">
        <v>3</v>
      </c>
      <c r="C111">
        <v>8</v>
      </c>
    </row>
    <row r="112" spans="1:4" x14ac:dyDescent="0.25">
      <c r="A112" s="3" t="s">
        <v>629</v>
      </c>
      <c r="B112">
        <v>4.352380952380952</v>
      </c>
      <c r="C112">
        <v>14.371428571428572</v>
      </c>
      <c r="D112">
        <v>37693.329999999973</v>
      </c>
    </row>
  </sheetData>
  <conditionalFormatting sqref="C2:C4 C113:C1048576">
    <cfRule type="colorScale" priority="19">
      <colorScale>
        <cfvo type="min"/>
        <cfvo type="percentile" val="50"/>
        <cfvo type="max"/>
        <color rgb="FFF8696B"/>
        <color rgb="FFFFEB84"/>
        <color rgb="FF63BE7B"/>
      </colorScale>
    </cfRule>
  </conditionalFormatting>
  <conditionalFormatting pivot="1" sqref="C8 C10 C13 C16:C18 C20:C23 C25 C27 C29 C31:C33 C36 C38 C41:C42 C47 C49 C53:C54 C61 C63 C65 C67 C69:C70 C76:C80 C82:C83 C85:C87 C91:C94 C96 C98:C99 C108:C110">
    <cfRule type="colorScale" priority="18">
      <colorScale>
        <cfvo type="min"/>
        <cfvo type="percentile" val="50"/>
        <cfvo type="max"/>
        <color rgb="FFF8696B"/>
        <color rgb="FFFFEB84"/>
        <color rgb="FF63BE7B"/>
      </colorScale>
    </cfRule>
  </conditionalFormatting>
  <conditionalFormatting pivot="1" sqref="C8:C10 C13 C16:C18 C20:C23 C25 C27:C29 C31:C33 C36 C38 C41:C42 C44:C45 C47 C49 C53:C56 C59 C61 C63 C65 C67:C70 C74 C76:C83 C85:C94 C96:C99 C106 C108:C110">
    <cfRule type="colorScale" priority="17">
      <colorScale>
        <cfvo type="min"/>
        <cfvo type="percentile" val="50"/>
        <cfvo type="max"/>
        <color rgb="FFF8696B"/>
        <color rgb="FFFFEB84"/>
        <color rgb="FF63BE7B"/>
      </colorScale>
    </cfRule>
  </conditionalFormatting>
  <conditionalFormatting sqref="C2:C4 C179:C1048576">
    <cfRule type="colorScale" priority="25">
      <colorScale>
        <cfvo type="min"/>
        <cfvo type="percentile" val="50"/>
        <cfvo type="max"/>
        <color rgb="FFF8696B"/>
        <color rgb="FFFFEB84"/>
        <color rgb="FF63BE7B"/>
      </colorScale>
    </cfRule>
  </conditionalFormatting>
  <conditionalFormatting pivot="1" sqref="C7">
    <cfRule type="colorScale" priority="14">
      <colorScale>
        <cfvo type="min"/>
        <cfvo type="percentile" val="50"/>
        <cfvo type="max"/>
        <color rgb="FFF8696B"/>
        <color rgb="FFFFEB84"/>
        <color rgb="FF63BE7B"/>
      </colorScale>
    </cfRule>
  </conditionalFormatting>
  <conditionalFormatting pivot="1" sqref="C7">
    <cfRule type="colorScale" priority="13">
      <colorScale>
        <cfvo type="min"/>
        <cfvo type="percentile" val="50"/>
        <cfvo type="max"/>
        <color rgb="FFF8696B"/>
        <color rgb="FFFFEB84"/>
        <color rgb="FF63BE7B"/>
      </colorScale>
    </cfRule>
  </conditionalFormatting>
  <conditionalFormatting pivot="1" sqref="C12">
    <cfRule type="colorScale" priority="12">
      <colorScale>
        <cfvo type="min"/>
        <cfvo type="percentile" val="50"/>
        <cfvo type="max"/>
        <color rgb="FFF8696B"/>
        <color rgb="FFFFEB84"/>
        <color rgb="FF63BE7B"/>
      </colorScale>
    </cfRule>
  </conditionalFormatting>
  <conditionalFormatting pivot="1" sqref="C12">
    <cfRule type="colorScale" priority="11">
      <colorScale>
        <cfvo type="min"/>
        <cfvo type="percentile" val="50"/>
        <cfvo type="max"/>
        <color rgb="FFF8696B"/>
        <color rgb="FFFFEB84"/>
        <color rgb="FF63BE7B"/>
      </colorScale>
    </cfRule>
  </conditionalFormatting>
  <conditionalFormatting pivot="1" sqref="C37">
    <cfRule type="colorScale" priority="6">
      <colorScale>
        <cfvo type="min"/>
        <cfvo type="percentile" val="50"/>
        <cfvo type="max"/>
        <color rgb="FFF8696B"/>
        <color rgb="FFFFEB84"/>
        <color rgb="FF63BE7B"/>
      </colorScale>
    </cfRule>
  </conditionalFormatting>
  <conditionalFormatting pivot="1" sqref="C37">
    <cfRule type="colorScale" priority="5">
      <colorScale>
        <cfvo type="min"/>
        <cfvo type="percentile" val="50"/>
        <cfvo type="max"/>
        <color rgb="FFF8696B"/>
        <color rgb="FFFFEB84"/>
        <color rgb="FF63BE7B"/>
      </colorScale>
    </cfRule>
  </conditionalFormatting>
  <conditionalFormatting pivot="1" sqref="C7:C10 C12:C13 C16:C18 C20:C23 C25 C27:C29 C31:C33 C36:C38 C41:C42 C44:C45 C47 C49 C53:C56 C59 C61 C63 C65 C67:C70 C74 C76:C83 C85:C94 C96:C99 C106 C108:C110">
    <cfRule type="colorScale" priority="4">
      <colorScale>
        <cfvo type="min"/>
        <cfvo type="percentile" val="50"/>
        <cfvo type="max"/>
        <color rgb="FFF8696B"/>
        <color rgb="FFFFEB84"/>
        <color rgb="FF63BE7B"/>
      </colorScale>
    </cfRule>
  </conditionalFormatting>
  <conditionalFormatting pivot="1" sqref="C7:C18 C20:C99 C101:C111">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EB928-FB10-4F63-A744-2A91AD4843A6}">
  <sheetPr>
    <tabColor theme="7" tint="0.59999389629810485"/>
  </sheetPr>
  <dimension ref="A2:D135"/>
  <sheetViews>
    <sheetView topLeftCell="A6" workbookViewId="0">
      <selection activeCell="D7" sqref="D7"/>
    </sheetView>
  </sheetViews>
  <sheetFormatPr defaultRowHeight="15" x14ac:dyDescent="0.25"/>
  <cols>
    <col min="1" max="1" width="48.42578125" bestFit="1" customWidth="1"/>
    <col min="2" max="2" width="16.140625" bestFit="1" customWidth="1"/>
    <col min="3" max="3" width="36.85546875" bestFit="1" customWidth="1"/>
    <col min="4" max="4" width="25.140625" bestFit="1" customWidth="1"/>
    <col min="5" max="5" width="20.85546875" bestFit="1" customWidth="1"/>
    <col min="6" max="6" width="12.42578125" bestFit="1" customWidth="1"/>
    <col min="7" max="7" width="6.140625" bestFit="1" customWidth="1"/>
    <col min="8" max="8" width="11" bestFit="1" customWidth="1"/>
    <col min="9" max="9" width="11.5703125" bestFit="1" customWidth="1"/>
    <col min="10" max="10" width="7.85546875" bestFit="1" customWidth="1"/>
    <col min="11" max="11" width="9.85546875" bestFit="1" customWidth="1"/>
    <col min="12" max="12" width="11" bestFit="1" customWidth="1"/>
    <col min="13" max="13" width="10.140625" bestFit="1" customWidth="1"/>
    <col min="14" max="14" width="10.42578125" bestFit="1" customWidth="1"/>
    <col min="15" max="15" width="7.42578125" bestFit="1" customWidth="1"/>
    <col min="16" max="16" width="9.5703125" bestFit="1" customWidth="1"/>
    <col min="17" max="17" width="8.85546875" bestFit="1" customWidth="1"/>
    <col min="18" max="18" width="9.5703125" bestFit="1" customWidth="1"/>
    <col min="19" max="19" width="10.140625" bestFit="1" customWidth="1"/>
    <col min="20" max="20" width="9.42578125" bestFit="1" customWidth="1"/>
    <col min="21" max="21" width="13.85546875" bestFit="1" customWidth="1"/>
    <col min="22" max="22" width="9.42578125" bestFit="1" customWidth="1"/>
    <col min="23" max="23" width="11.140625" bestFit="1" customWidth="1"/>
    <col min="24" max="24" width="9.85546875" bestFit="1" customWidth="1"/>
    <col min="25" max="25" width="8.42578125" bestFit="1" customWidth="1"/>
    <col min="26" max="26" width="5.5703125" bestFit="1" customWidth="1"/>
    <col min="27" max="27" width="8.85546875" bestFit="1" customWidth="1"/>
    <col min="28" max="28" width="9" bestFit="1" customWidth="1"/>
    <col min="29" max="29" width="11" bestFit="1" customWidth="1"/>
    <col min="30" max="30" width="7.140625" bestFit="1" customWidth="1"/>
    <col min="31" max="32" width="9.5703125" bestFit="1" customWidth="1"/>
    <col min="33" max="33" width="11.85546875" bestFit="1" customWidth="1"/>
    <col min="34" max="34" width="12.42578125" bestFit="1" customWidth="1"/>
    <col min="35" max="35" width="10.5703125" bestFit="1" customWidth="1"/>
    <col min="36" max="36" width="9.42578125" bestFit="1" customWidth="1"/>
    <col min="37" max="37" width="17.42578125" bestFit="1" customWidth="1"/>
    <col min="38" max="38" width="10.5703125" bestFit="1" customWidth="1"/>
    <col min="39" max="39" width="9.42578125" bestFit="1" customWidth="1"/>
    <col min="40" max="40" width="7.140625" bestFit="1" customWidth="1"/>
    <col min="41" max="41" width="25.140625" bestFit="1" customWidth="1"/>
    <col min="42" max="42" width="9.140625" bestFit="1" customWidth="1"/>
    <col min="43" max="43" width="7" bestFit="1" customWidth="1"/>
    <col min="44" max="44" width="15.140625" bestFit="1" customWidth="1"/>
    <col min="45" max="45" width="10.5703125" bestFit="1" customWidth="1"/>
    <col min="46" max="46" width="12.42578125" bestFit="1" customWidth="1"/>
    <col min="47" max="47" width="6.140625" bestFit="1" customWidth="1"/>
    <col min="48" max="48" width="11" bestFit="1" customWidth="1"/>
    <col min="49" max="49" width="11.5703125" bestFit="1" customWidth="1"/>
    <col min="50" max="50" width="7.85546875" bestFit="1" customWidth="1"/>
    <col min="51" max="51" width="9.85546875" bestFit="1" customWidth="1"/>
    <col min="52" max="52" width="11" bestFit="1" customWidth="1"/>
    <col min="53" max="53" width="10.140625" bestFit="1" customWidth="1"/>
    <col min="54" max="54" width="10.42578125" bestFit="1" customWidth="1"/>
    <col min="55" max="55" width="7.42578125" bestFit="1" customWidth="1"/>
    <col min="56" max="56" width="9.5703125" bestFit="1" customWidth="1"/>
    <col min="57" max="57" width="8.85546875" bestFit="1" customWidth="1"/>
    <col min="58" max="58" width="9.5703125" bestFit="1" customWidth="1"/>
    <col min="59" max="59" width="10.140625" bestFit="1" customWidth="1"/>
    <col min="60" max="60" width="9.42578125" bestFit="1" customWidth="1"/>
    <col min="61" max="61" width="13.85546875" bestFit="1" customWidth="1"/>
    <col min="62" max="62" width="9.42578125" bestFit="1" customWidth="1"/>
    <col min="63" max="63" width="11.140625" bestFit="1" customWidth="1"/>
    <col min="64" max="64" width="9.85546875" bestFit="1" customWidth="1"/>
    <col min="65" max="65" width="8.42578125" bestFit="1" customWidth="1"/>
    <col min="66" max="66" width="5.5703125" bestFit="1" customWidth="1"/>
    <col min="67" max="67" width="8.85546875" bestFit="1" customWidth="1"/>
    <col min="68" max="68" width="9" bestFit="1" customWidth="1"/>
    <col min="69" max="69" width="11" bestFit="1" customWidth="1"/>
    <col min="70" max="70" width="7.140625" bestFit="1" customWidth="1"/>
    <col min="71" max="72" width="9.5703125" bestFit="1" customWidth="1"/>
    <col min="73" max="73" width="11.85546875" bestFit="1" customWidth="1"/>
    <col min="74" max="74" width="12.42578125" bestFit="1" customWidth="1"/>
    <col min="75" max="75" width="10.5703125" bestFit="1" customWidth="1"/>
    <col min="76" max="76" width="9.42578125" bestFit="1" customWidth="1"/>
    <col min="77" max="77" width="17.42578125" bestFit="1" customWidth="1"/>
    <col min="78" max="78" width="10.5703125" bestFit="1" customWidth="1"/>
    <col min="79" max="79" width="9.42578125" bestFit="1" customWidth="1"/>
    <col min="80" max="80" width="7.140625" bestFit="1" customWidth="1"/>
    <col min="81" max="81" width="39.42578125" bestFit="1" customWidth="1"/>
    <col min="82" max="82" width="9.140625" bestFit="1" customWidth="1"/>
    <col min="83" max="83" width="7" bestFit="1" customWidth="1"/>
    <col min="84" max="84" width="15.140625" bestFit="1" customWidth="1"/>
    <col min="85" max="85" width="10.5703125" bestFit="1" customWidth="1"/>
    <col min="86" max="86" width="12.42578125" bestFit="1" customWidth="1"/>
    <col min="87" max="87" width="6.140625" bestFit="1" customWidth="1"/>
    <col min="88" max="88" width="11" bestFit="1" customWidth="1"/>
    <col min="89" max="89" width="11.5703125" bestFit="1" customWidth="1"/>
    <col min="90" max="90" width="7.85546875" bestFit="1" customWidth="1"/>
    <col min="91" max="91" width="9.85546875" bestFit="1" customWidth="1"/>
    <col min="92" max="92" width="11" bestFit="1" customWidth="1"/>
    <col min="93" max="93" width="10.140625" bestFit="1" customWidth="1"/>
    <col min="94" max="94" width="10.42578125" bestFit="1" customWidth="1"/>
    <col min="95" max="95" width="7.42578125" bestFit="1" customWidth="1"/>
    <col min="96" max="96" width="9.5703125" bestFit="1" customWidth="1"/>
    <col min="97" max="97" width="8.85546875" bestFit="1" customWidth="1"/>
    <col min="98" max="98" width="9.5703125" bestFit="1" customWidth="1"/>
    <col min="99" max="99" width="10.140625" bestFit="1" customWidth="1"/>
    <col min="100" max="100" width="9.42578125" bestFit="1" customWidth="1"/>
    <col min="101" max="101" width="13.85546875" bestFit="1" customWidth="1"/>
    <col min="102" max="102" width="9.42578125" bestFit="1" customWidth="1"/>
    <col min="103" max="103" width="11.140625" bestFit="1" customWidth="1"/>
    <col min="104" max="104" width="9.85546875" bestFit="1" customWidth="1"/>
    <col min="105" max="105" width="8.42578125" bestFit="1" customWidth="1"/>
    <col min="106" max="106" width="5.5703125" bestFit="1" customWidth="1"/>
    <col min="107" max="107" width="8.85546875" bestFit="1" customWidth="1"/>
    <col min="108" max="108" width="9" bestFit="1" customWidth="1"/>
    <col min="109" max="109" width="11" bestFit="1" customWidth="1"/>
    <col min="110" max="110" width="7.140625" bestFit="1" customWidth="1"/>
    <col min="111" max="112" width="9.5703125" bestFit="1" customWidth="1"/>
    <col min="113" max="113" width="11.85546875" bestFit="1" customWidth="1"/>
    <col min="114" max="114" width="12.42578125" bestFit="1" customWidth="1"/>
    <col min="115" max="115" width="10.5703125" bestFit="1" customWidth="1"/>
    <col min="116" max="116" width="9.42578125" bestFit="1" customWidth="1"/>
    <col min="117" max="117" width="17.42578125" bestFit="1" customWidth="1"/>
    <col min="118" max="118" width="10.5703125" bestFit="1" customWidth="1"/>
    <col min="119" max="119" width="9.42578125" bestFit="1" customWidth="1"/>
    <col min="120" max="120" width="7.140625" bestFit="1" customWidth="1"/>
    <col min="121" max="121" width="29.5703125" bestFit="1" customWidth="1"/>
    <col min="122" max="122" width="30" bestFit="1" customWidth="1"/>
    <col min="123" max="123" width="44.140625" bestFit="1" customWidth="1"/>
  </cols>
  <sheetData>
    <row r="2" spans="1:4" x14ac:dyDescent="0.25">
      <c r="A2" s="14" t="s">
        <v>50</v>
      </c>
      <c r="B2" t="s">
        <v>615</v>
      </c>
      <c r="C2" t="s">
        <v>616</v>
      </c>
    </row>
    <row r="3" spans="1:4" x14ac:dyDescent="0.25">
      <c r="A3" s="14" t="s">
        <v>57</v>
      </c>
      <c r="B3" t="s">
        <v>630</v>
      </c>
    </row>
    <row r="4" spans="1:4" ht="15" customHeight="1" x14ac:dyDescent="0.25">
      <c r="A4" s="14" t="s">
        <v>13</v>
      </c>
      <c r="B4" t="s">
        <v>615</v>
      </c>
      <c r="C4" t="s">
        <v>631</v>
      </c>
    </row>
    <row r="5" spans="1:4" ht="17.45" customHeight="1" x14ac:dyDescent="0.25"/>
    <row r="6" spans="1:4" ht="60" x14ac:dyDescent="0.25">
      <c r="A6" s="14" t="s">
        <v>619</v>
      </c>
      <c r="B6" s="15" t="s">
        <v>622</v>
      </c>
      <c r="C6" s="15" t="s">
        <v>620</v>
      </c>
      <c r="D6" s="15" t="s">
        <v>632</v>
      </c>
    </row>
    <row r="7" spans="1:4" x14ac:dyDescent="0.25">
      <c r="A7" s="3" t="s">
        <v>244</v>
      </c>
      <c r="B7">
        <v>1221</v>
      </c>
      <c r="C7">
        <v>5</v>
      </c>
      <c r="D7" s="22">
        <v>1221</v>
      </c>
    </row>
    <row r="8" spans="1:4" x14ac:dyDescent="0.25">
      <c r="A8" s="3" t="s">
        <v>177</v>
      </c>
      <c r="B8">
        <v>928</v>
      </c>
      <c r="C8">
        <v>5</v>
      </c>
      <c r="D8" s="22">
        <v>928</v>
      </c>
    </row>
    <row r="9" spans="1:4" x14ac:dyDescent="0.25">
      <c r="A9" s="3" t="s">
        <v>181</v>
      </c>
      <c r="B9">
        <v>800</v>
      </c>
      <c r="C9">
        <v>5</v>
      </c>
      <c r="D9" s="22">
        <v>800</v>
      </c>
    </row>
    <row r="10" spans="1:4" x14ac:dyDescent="0.25">
      <c r="A10" s="3" t="s">
        <v>295</v>
      </c>
      <c r="B10">
        <v>749</v>
      </c>
      <c r="C10">
        <v>5</v>
      </c>
      <c r="D10" s="22">
        <v>749</v>
      </c>
    </row>
    <row r="11" spans="1:4" x14ac:dyDescent="0.25">
      <c r="A11" s="3" t="s">
        <v>624</v>
      </c>
      <c r="B11">
        <v>1269</v>
      </c>
      <c r="C11">
        <v>5</v>
      </c>
      <c r="D11" s="22">
        <v>634.5</v>
      </c>
    </row>
    <row r="12" spans="1:4" x14ac:dyDescent="0.25">
      <c r="A12" s="3" t="s">
        <v>590</v>
      </c>
      <c r="B12">
        <v>563</v>
      </c>
      <c r="C12">
        <v>5</v>
      </c>
      <c r="D12" s="22">
        <v>563</v>
      </c>
    </row>
    <row r="13" spans="1:4" x14ac:dyDescent="0.25">
      <c r="A13" s="3" t="s">
        <v>596</v>
      </c>
      <c r="B13">
        <v>548</v>
      </c>
      <c r="C13">
        <v>5</v>
      </c>
      <c r="D13" s="22">
        <v>548</v>
      </c>
    </row>
    <row r="14" spans="1:4" x14ac:dyDescent="0.25">
      <c r="A14" s="3" t="s">
        <v>140</v>
      </c>
      <c r="B14">
        <v>939</v>
      </c>
      <c r="C14">
        <v>5</v>
      </c>
      <c r="D14" s="22">
        <v>469.5</v>
      </c>
    </row>
    <row r="15" spans="1:4" x14ac:dyDescent="0.25">
      <c r="A15" s="3" t="s">
        <v>254</v>
      </c>
      <c r="B15">
        <v>455</v>
      </c>
      <c r="C15">
        <v>5</v>
      </c>
      <c r="D15" s="22">
        <v>455</v>
      </c>
    </row>
    <row r="16" spans="1:4" x14ac:dyDescent="0.25">
      <c r="A16" s="3" t="s">
        <v>136</v>
      </c>
      <c r="B16">
        <v>901</v>
      </c>
      <c r="C16">
        <v>5</v>
      </c>
      <c r="D16" s="22">
        <v>450.50000000000006</v>
      </c>
    </row>
    <row r="17" spans="1:4" x14ac:dyDescent="0.25">
      <c r="A17" s="3" t="s">
        <v>267</v>
      </c>
      <c r="B17">
        <v>448.2</v>
      </c>
      <c r="C17">
        <v>5</v>
      </c>
      <c r="D17" s="22">
        <v>448.19999999999993</v>
      </c>
    </row>
    <row r="18" spans="1:4" x14ac:dyDescent="0.25">
      <c r="A18" s="3" t="s">
        <v>399</v>
      </c>
      <c r="B18">
        <v>447</v>
      </c>
      <c r="C18">
        <v>5</v>
      </c>
      <c r="D18" s="22">
        <v>447</v>
      </c>
    </row>
    <row r="19" spans="1:4" x14ac:dyDescent="0.25">
      <c r="A19" s="3" t="s">
        <v>248</v>
      </c>
      <c r="B19">
        <v>431</v>
      </c>
      <c r="C19">
        <v>5</v>
      </c>
      <c r="D19" s="22">
        <v>431</v>
      </c>
    </row>
    <row r="20" spans="1:4" x14ac:dyDescent="0.25">
      <c r="A20" s="3" t="s">
        <v>102</v>
      </c>
      <c r="B20">
        <v>426.2</v>
      </c>
      <c r="C20">
        <v>5</v>
      </c>
      <c r="D20" s="22">
        <v>426.2</v>
      </c>
    </row>
    <row r="21" spans="1:4" x14ac:dyDescent="0.25">
      <c r="A21" s="3" t="s">
        <v>184</v>
      </c>
      <c r="B21">
        <v>425</v>
      </c>
      <c r="C21">
        <v>5</v>
      </c>
      <c r="D21" s="22">
        <v>425</v>
      </c>
    </row>
    <row r="22" spans="1:4" x14ac:dyDescent="0.25">
      <c r="A22" s="3" t="s">
        <v>125</v>
      </c>
      <c r="B22">
        <v>395</v>
      </c>
      <c r="C22">
        <v>5</v>
      </c>
      <c r="D22" s="22">
        <v>395</v>
      </c>
    </row>
    <row r="23" spans="1:4" x14ac:dyDescent="0.25">
      <c r="A23" s="3" t="s">
        <v>283</v>
      </c>
      <c r="B23">
        <v>387.64</v>
      </c>
      <c r="C23">
        <v>5</v>
      </c>
      <c r="D23" s="22">
        <v>387.64</v>
      </c>
    </row>
    <row r="24" spans="1:4" x14ac:dyDescent="0.25">
      <c r="A24" s="3" t="s">
        <v>287</v>
      </c>
      <c r="B24">
        <v>372.2</v>
      </c>
      <c r="C24">
        <v>5</v>
      </c>
      <c r="D24" s="22">
        <v>372.2</v>
      </c>
    </row>
    <row r="25" spans="1:4" x14ac:dyDescent="0.25">
      <c r="A25" s="3" t="s">
        <v>119</v>
      </c>
      <c r="B25">
        <v>735.6</v>
      </c>
      <c r="C25">
        <v>5</v>
      </c>
      <c r="D25" s="22">
        <v>367.8</v>
      </c>
    </row>
    <row r="26" spans="1:4" x14ac:dyDescent="0.25">
      <c r="A26" s="3" t="s">
        <v>332</v>
      </c>
      <c r="B26">
        <v>312.3</v>
      </c>
      <c r="C26">
        <v>5</v>
      </c>
      <c r="D26" s="22">
        <v>312.3</v>
      </c>
    </row>
    <row r="27" spans="1:4" x14ac:dyDescent="0.25">
      <c r="A27" s="3" t="s">
        <v>230</v>
      </c>
      <c r="B27">
        <v>310</v>
      </c>
      <c r="C27">
        <v>5</v>
      </c>
      <c r="D27" s="22">
        <v>310</v>
      </c>
    </row>
    <row r="28" spans="1:4" x14ac:dyDescent="0.25">
      <c r="A28" s="3" t="s">
        <v>328</v>
      </c>
      <c r="B28">
        <v>306.3</v>
      </c>
      <c r="C28">
        <v>5</v>
      </c>
      <c r="D28" s="22">
        <v>306.3</v>
      </c>
    </row>
    <row r="29" spans="1:4" x14ac:dyDescent="0.25">
      <c r="A29" s="3" t="s">
        <v>83</v>
      </c>
      <c r="B29">
        <v>303.8</v>
      </c>
      <c r="C29">
        <v>5</v>
      </c>
      <c r="D29" s="22">
        <v>303.8</v>
      </c>
    </row>
    <row r="30" spans="1:4" x14ac:dyDescent="0.25">
      <c r="A30" s="3" t="s">
        <v>370</v>
      </c>
      <c r="B30">
        <v>299.5</v>
      </c>
      <c r="C30">
        <v>5</v>
      </c>
      <c r="D30" s="22">
        <v>299.5</v>
      </c>
    </row>
    <row r="31" spans="1:4" x14ac:dyDescent="0.25">
      <c r="A31" s="3" t="s">
        <v>578</v>
      </c>
      <c r="B31">
        <v>289</v>
      </c>
      <c r="C31">
        <v>5</v>
      </c>
      <c r="D31" s="22">
        <v>289</v>
      </c>
    </row>
    <row r="32" spans="1:4" x14ac:dyDescent="0.25">
      <c r="A32" s="3" t="s">
        <v>564</v>
      </c>
      <c r="B32">
        <v>288.2</v>
      </c>
      <c r="C32">
        <v>5</v>
      </c>
      <c r="D32" s="22">
        <v>288.2</v>
      </c>
    </row>
    <row r="33" spans="1:4" x14ac:dyDescent="0.25">
      <c r="A33" s="3" t="s">
        <v>303</v>
      </c>
      <c r="B33">
        <v>270.35000000000002</v>
      </c>
      <c r="C33">
        <v>5</v>
      </c>
      <c r="D33" s="22">
        <v>270.35000000000002</v>
      </c>
    </row>
    <row r="34" spans="1:4" x14ac:dyDescent="0.25">
      <c r="A34" s="3" t="s">
        <v>147</v>
      </c>
      <c r="B34">
        <v>255</v>
      </c>
      <c r="C34">
        <v>5</v>
      </c>
      <c r="D34" s="22">
        <v>254.99999999999997</v>
      </c>
    </row>
    <row r="35" spans="1:4" x14ac:dyDescent="0.25">
      <c r="A35" s="3" t="s">
        <v>625</v>
      </c>
      <c r="B35">
        <v>251</v>
      </c>
      <c r="C35">
        <v>5</v>
      </c>
      <c r="D35" s="22">
        <v>251</v>
      </c>
    </row>
    <row r="36" spans="1:4" x14ac:dyDescent="0.25">
      <c r="A36" s="3" t="s">
        <v>582</v>
      </c>
      <c r="B36">
        <v>1235</v>
      </c>
      <c r="C36">
        <v>3</v>
      </c>
      <c r="D36" s="22">
        <v>247</v>
      </c>
    </row>
    <row r="37" spans="1:4" x14ac:dyDescent="0.25">
      <c r="A37" s="3" t="s">
        <v>464</v>
      </c>
      <c r="B37">
        <v>245.60000000000002</v>
      </c>
      <c r="C37">
        <v>5</v>
      </c>
      <c r="D37" s="22">
        <v>245.60000000000005</v>
      </c>
    </row>
    <row r="38" spans="1:4" x14ac:dyDescent="0.25">
      <c r="A38" s="3" t="s">
        <v>301</v>
      </c>
      <c r="B38">
        <v>243.35000000000002</v>
      </c>
      <c r="C38">
        <v>5</v>
      </c>
      <c r="D38" s="22">
        <v>243.35000000000002</v>
      </c>
    </row>
    <row r="39" spans="1:4" x14ac:dyDescent="0.25">
      <c r="A39" s="3" t="s">
        <v>276</v>
      </c>
      <c r="B39">
        <v>242.2</v>
      </c>
      <c r="C39">
        <v>5</v>
      </c>
      <c r="D39" s="22">
        <v>242.2</v>
      </c>
    </row>
    <row r="40" spans="1:4" x14ac:dyDescent="0.25">
      <c r="A40" s="3" t="s">
        <v>236</v>
      </c>
      <c r="B40">
        <v>1210.5999999999999</v>
      </c>
      <c r="C40">
        <v>3</v>
      </c>
      <c r="D40" s="22">
        <v>242.12</v>
      </c>
    </row>
    <row r="41" spans="1:4" x14ac:dyDescent="0.25">
      <c r="A41" s="3" t="s">
        <v>626</v>
      </c>
      <c r="B41">
        <v>1161</v>
      </c>
      <c r="C41">
        <v>3</v>
      </c>
      <c r="D41" s="22">
        <v>232.2</v>
      </c>
    </row>
    <row r="42" spans="1:4" x14ac:dyDescent="0.25">
      <c r="A42" s="3" t="s">
        <v>404</v>
      </c>
      <c r="B42">
        <v>228.2</v>
      </c>
      <c r="C42">
        <v>5</v>
      </c>
      <c r="D42" s="22">
        <v>228.2</v>
      </c>
    </row>
    <row r="43" spans="1:4" x14ac:dyDescent="0.25">
      <c r="A43" s="3" t="s">
        <v>121</v>
      </c>
      <c r="B43">
        <v>449.6</v>
      </c>
      <c r="C43">
        <v>5</v>
      </c>
      <c r="D43" s="22">
        <v>224.8</v>
      </c>
    </row>
    <row r="44" spans="1:4" x14ac:dyDescent="0.25">
      <c r="A44" s="3" t="s">
        <v>240</v>
      </c>
      <c r="B44">
        <v>1113</v>
      </c>
      <c r="C44">
        <v>3</v>
      </c>
      <c r="D44" s="22">
        <v>222.60000000000002</v>
      </c>
    </row>
    <row r="45" spans="1:4" x14ac:dyDescent="0.25">
      <c r="A45" s="3" t="s">
        <v>376</v>
      </c>
      <c r="B45">
        <v>211.5</v>
      </c>
      <c r="C45">
        <v>5</v>
      </c>
      <c r="D45" s="22">
        <v>211.5</v>
      </c>
    </row>
    <row r="46" spans="1:4" x14ac:dyDescent="0.25">
      <c r="A46" s="3" t="s">
        <v>450</v>
      </c>
      <c r="B46">
        <v>202.2</v>
      </c>
      <c r="C46">
        <v>5</v>
      </c>
      <c r="D46" s="22">
        <v>202.2</v>
      </c>
    </row>
    <row r="47" spans="1:4" x14ac:dyDescent="0.25">
      <c r="A47" s="3" t="s">
        <v>315</v>
      </c>
      <c r="B47">
        <v>199</v>
      </c>
      <c r="C47">
        <v>5</v>
      </c>
      <c r="D47" s="22">
        <v>199</v>
      </c>
    </row>
    <row r="48" spans="1:4" x14ac:dyDescent="0.25">
      <c r="A48" s="3" t="s">
        <v>574</v>
      </c>
      <c r="B48">
        <v>980</v>
      </c>
      <c r="C48">
        <v>3</v>
      </c>
      <c r="D48" s="22">
        <v>196</v>
      </c>
    </row>
    <row r="49" spans="1:4" x14ac:dyDescent="0.25">
      <c r="A49" s="3" t="s">
        <v>510</v>
      </c>
      <c r="B49">
        <v>880</v>
      </c>
      <c r="C49">
        <v>3</v>
      </c>
      <c r="D49" s="22">
        <v>176</v>
      </c>
    </row>
    <row r="50" spans="1:4" x14ac:dyDescent="0.25">
      <c r="A50" s="3" t="s">
        <v>87</v>
      </c>
      <c r="B50">
        <v>174.18</v>
      </c>
      <c r="C50">
        <v>5</v>
      </c>
      <c r="D50" s="22">
        <v>174.18</v>
      </c>
    </row>
    <row r="51" spans="1:4" x14ac:dyDescent="0.25">
      <c r="A51" s="3" t="s">
        <v>442</v>
      </c>
      <c r="B51">
        <v>170.2</v>
      </c>
      <c r="C51">
        <v>5</v>
      </c>
      <c r="D51" s="22">
        <v>170.2</v>
      </c>
    </row>
    <row r="52" spans="1:4" x14ac:dyDescent="0.25">
      <c r="A52" s="3" t="s">
        <v>446</v>
      </c>
      <c r="B52">
        <v>170.2</v>
      </c>
      <c r="C52">
        <v>5</v>
      </c>
      <c r="D52" s="22">
        <v>170.2</v>
      </c>
    </row>
    <row r="53" spans="1:4" x14ac:dyDescent="0.25">
      <c r="A53" s="3" t="s">
        <v>408</v>
      </c>
      <c r="B53">
        <v>165.60000000000002</v>
      </c>
      <c r="C53">
        <v>5</v>
      </c>
      <c r="D53" s="22">
        <v>165.60000000000002</v>
      </c>
    </row>
    <row r="54" spans="1:4" x14ac:dyDescent="0.25">
      <c r="A54" s="3" t="s">
        <v>409</v>
      </c>
      <c r="B54">
        <v>165.60000000000002</v>
      </c>
      <c r="C54">
        <v>5</v>
      </c>
      <c r="D54" s="22">
        <v>165.60000000000002</v>
      </c>
    </row>
    <row r="55" spans="1:4" x14ac:dyDescent="0.25">
      <c r="A55" s="3" t="s">
        <v>407</v>
      </c>
      <c r="B55">
        <v>165.60000000000002</v>
      </c>
      <c r="C55">
        <v>5</v>
      </c>
      <c r="D55" s="22">
        <v>165.60000000000002</v>
      </c>
    </row>
    <row r="56" spans="1:4" x14ac:dyDescent="0.25">
      <c r="A56" s="3" t="s">
        <v>390</v>
      </c>
      <c r="B56">
        <v>153.30000000000001</v>
      </c>
      <c r="C56">
        <v>5</v>
      </c>
      <c r="D56" s="22">
        <v>153.30000000000001</v>
      </c>
    </row>
    <row r="57" spans="1:4" x14ac:dyDescent="0.25">
      <c r="A57" s="3" t="s">
        <v>187</v>
      </c>
      <c r="B57">
        <v>450.5</v>
      </c>
      <c r="C57">
        <v>5</v>
      </c>
      <c r="D57" s="22">
        <v>150.16666666666666</v>
      </c>
    </row>
    <row r="58" spans="1:4" x14ac:dyDescent="0.25">
      <c r="A58" s="3" t="s">
        <v>143</v>
      </c>
      <c r="B58">
        <v>447.1</v>
      </c>
      <c r="C58">
        <v>5</v>
      </c>
      <c r="D58" s="22">
        <v>149.03333333333333</v>
      </c>
    </row>
    <row r="59" spans="1:4" x14ac:dyDescent="0.25">
      <c r="A59" s="3" t="s">
        <v>398</v>
      </c>
      <c r="B59">
        <v>148.1</v>
      </c>
      <c r="C59">
        <v>5</v>
      </c>
      <c r="D59" s="22">
        <v>148.1</v>
      </c>
    </row>
    <row r="60" spans="1:4" x14ac:dyDescent="0.25">
      <c r="A60" s="3" t="s">
        <v>396</v>
      </c>
      <c r="B60">
        <v>148.1</v>
      </c>
      <c r="C60">
        <v>5</v>
      </c>
      <c r="D60" s="22">
        <v>148.1</v>
      </c>
    </row>
    <row r="61" spans="1:4" x14ac:dyDescent="0.25">
      <c r="A61" s="3" t="s">
        <v>567</v>
      </c>
      <c r="B61">
        <v>141.19999999999999</v>
      </c>
      <c r="C61">
        <v>5</v>
      </c>
      <c r="D61" s="22">
        <v>141.19999999999999</v>
      </c>
    </row>
    <row r="62" spans="1:4" x14ac:dyDescent="0.25">
      <c r="A62" s="3" t="s">
        <v>98</v>
      </c>
      <c r="B62">
        <v>277.64</v>
      </c>
      <c r="C62">
        <v>5</v>
      </c>
      <c r="D62" s="22">
        <v>138.82</v>
      </c>
    </row>
    <row r="63" spans="1:4" x14ac:dyDescent="0.25">
      <c r="A63" s="3" t="s">
        <v>628</v>
      </c>
      <c r="B63">
        <v>644</v>
      </c>
      <c r="C63">
        <v>3</v>
      </c>
      <c r="D63" s="22">
        <v>128.80000000000001</v>
      </c>
    </row>
    <row r="64" spans="1:4" x14ac:dyDescent="0.25">
      <c r="A64" s="3" t="s">
        <v>298</v>
      </c>
      <c r="B64">
        <v>642</v>
      </c>
      <c r="C64">
        <v>3</v>
      </c>
      <c r="D64" s="22">
        <v>128.4</v>
      </c>
    </row>
    <row r="65" spans="1:4" x14ac:dyDescent="0.25">
      <c r="A65" s="3" t="s">
        <v>207</v>
      </c>
      <c r="B65">
        <v>122.2</v>
      </c>
      <c r="C65">
        <v>5</v>
      </c>
      <c r="D65" s="22">
        <v>122.2</v>
      </c>
    </row>
    <row r="66" spans="1:4" x14ac:dyDescent="0.25">
      <c r="A66" s="3" t="s">
        <v>203</v>
      </c>
      <c r="B66">
        <v>122.2</v>
      </c>
      <c r="C66">
        <v>5</v>
      </c>
      <c r="D66" s="22">
        <v>122.2</v>
      </c>
    </row>
    <row r="67" spans="1:4" x14ac:dyDescent="0.25">
      <c r="A67" s="3" t="s">
        <v>209</v>
      </c>
      <c r="B67">
        <v>122.2</v>
      </c>
      <c r="C67">
        <v>5</v>
      </c>
      <c r="D67" s="22">
        <v>122.2</v>
      </c>
    </row>
    <row r="68" spans="1:4" x14ac:dyDescent="0.25">
      <c r="A68" s="3" t="s">
        <v>94</v>
      </c>
      <c r="B68">
        <v>469.64</v>
      </c>
      <c r="C68">
        <v>3</v>
      </c>
      <c r="D68" s="22">
        <v>117.41000000000001</v>
      </c>
    </row>
    <row r="69" spans="1:4" x14ac:dyDescent="0.25">
      <c r="A69" s="3" t="s">
        <v>106</v>
      </c>
      <c r="B69">
        <v>583.6</v>
      </c>
      <c r="C69">
        <v>3</v>
      </c>
      <c r="D69" s="22">
        <v>116.72000000000001</v>
      </c>
    </row>
    <row r="70" spans="1:4" x14ac:dyDescent="0.25">
      <c r="A70" s="3" t="s">
        <v>419</v>
      </c>
      <c r="B70">
        <v>583</v>
      </c>
      <c r="C70">
        <v>3</v>
      </c>
      <c r="D70" s="22">
        <v>116.6</v>
      </c>
    </row>
    <row r="71" spans="1:4" x14ac:dyDescent="0.25">
      <c r="A71" s="3" t="s">
        <v>198</v>
      </c>
      <c r="B71">
        <v>567.4</v>
      </c>
      <c r="C71">
        <v>3</v>
      </c>
      <c r="D71" s="22">
        <v>113.47999999999999</v>
      </c>
    </row>
    <row r="72" spans="1:4" x14ac:dyDescent="0.25">
      <c r="A72" s="3" t="s">
        <v>165</v>
      </c>
      <c r="B72">
        <v>550.29999999999995</v>
      </c>
      <c r="C72">
        <v>3</v>
      </c>
      <c r="D72" s="22">
        <v>110.05999999999999</v>
      </c>
    </row>
    <row r="73" spans="1:4" x14ac:dyDescent="0.25">
      <c r="A73" s="3" t="s">
        <v>150</v>
      </c>
      <c r="B73">
        <v>525</v>
      </c>
      <c r="C73">
        <v>3</v>
      </c>
      <c r="D73" s="22">
        <v>105</v>
      </c>
    </row>
    <row r="74" spans="1:4" x14ac:dyDescent="0.25">
      <c r="A74" s="3" t="s">
        <v>356</v>
      </c>
      <c r="B74">
        <v>498.6</v>
      </c>
      <c r="C74">
        <v>3</v>
      </c>
      <c r="D74" s="22">
        <v>99.72</v>
      </c>
    </row>
    <row r="75" spans="1:4" x14ac:dyDescent="0.25">
      <c r="A75" s="3" t="s">
        <v>380</v>
      </c>
      <c r="B75">
        <v>98</v>
      </c>
      <c r="C75">
        <v>5</v>
      </c>
      <c r="D75" s="22">
        <v>98</v>
      </c>
    </row>
    <row r="76" spans="1:4" x14ac:dyDescent="0.25">
      <c r="A76" s="3" t="s">
        <v>401</v>
      </c>
      <c r="B76">
        <v>92.64</v>
      </c>
      <c r="C76">
        <v>5</v>
      </c>
      <c r="D76" s="22">
        <v>92.64</v>
      </c>
    </row>
    <row r="77" spans="1:4" x14ac:dyDescent="0.25">
      <c r="A77" s="3" t="s">
        <v>436</v>
      </c>
      <c r="B77">
        <v>92.64</v>
      </c>
      <c r="C77">
        <v>5</v>
      </c>
      <c r="D77" s="22">
        <v>92.64</v>
      </c>
    </row>
    <row r="78" spans="1:4" x14ac:dyDescent="0.25">
      <c r="A78" s="3" t="s">
        <v>359</v>
      </c>
      <c r="B78">
        <v>455.6</v>
      </c>
      <c r="C78">
        <v>3</v>
      </c>
      <c r="D78" s="22">
        <v>91.12</v>
      </c>
    </row>
    <row r="79" spans="1:4" x14ac:dyDescent="0.25">
      <c r="A79" s="3" t="s">
        <v>462</v>
      </c>
      <c r="B79">
        <v>440.6</v>
      </c>
      <c r="C79">
        <v>3</v>
      </c>
      <c r="D79" s="22">
        <v>88.12</v>
      </c>
    </row>
    <row r="80" spans="1:4" x14ac:dyDescent="0.25">
      <c r="A80" s="3" t="s">
        <v>527</v>
      </c>
      <c r="B80">
        <v>87.600000000000009</v>
      </c>
      <c r="C80">
        <v>5</v>
      </c>
      <c r="D80" s="22">
        <v>87.600000000000009</v>
      </c>
    </row>
    <row r="81" spans="1:4" x14ac:dyDescent="0.25">
      <c r="A81" s="3" t="s">
        <v>558</v>
      </c>
      <c r="B81">
        <v>1829.1</v>
      </c>
      <c r="C81">
        <v>1</v>
      </c>
      <c r="D81" s="22">
        <v>83.140909090909091</v>
      </c>
    </row>
    <row r="82" spans="1:4" x14ac:dyDescent="0.25">
      <c r="A82" s="3" t="s">
        <v>195</v>
      </c>
      <c r="B82">
        <v>410.4</v>
      </c>
      <c r="C82">
        <v>3</v>
      </c>
      <c r="D82" s="22">
        <v>82.079999999999984</v>
      </c>
    </row>
    <row r="83" spans="1:4" x14ac:dyDescent="0.25">
      <c r="A83" s="3" t="s">
        <v>373</v>
      </c>
      <c r="B83">
        <v>407.5</v>
      </c>
      <c r="C83">
        <v>3</v>
      </c>
      <c r="D83" s="22">
        <v>81.5</v>
      </c>
    </row>
    <row r="84" spans="1:4" x14ac:dyDescent="0.25">
      <c r="A84" s="3" t="s">
        <v>191</v>
      </c>
      <c r="B84">
        <v>387.4</v>
      </c>
      <c r="C84">
        <v>3</v>
      </c>
      <c r="D84" s="22">
        <v>77.47999999999999</v>
      </c>
    </row>
    <row r="85" spans="1:4" x14ac:dyDescent="0.25">
      <c r="A85" s="3" t="s">
        <v>423</v>
      </c>
      <c r="B85">
        <v>77.2</v>
      </c>
      <c r="C85">
        <v>5</v>
      </c>
      <c r="D85" s="22">
        <v>77.2</v>
      </c>
    </row>
    <row r="86" spans="1:4" x14ac:dyDescent="0.25">
      <c r="A86" s="3" t="s">
        <v>342</v>
      </c>
      <c r="B86">
        <v>760.5</v>
      </c>
      <c r="C86">
        <v>2</v>
      </c>
      <c r="D86" s="22">
        <v>76.05</v>
      </c>
    </row>
    <row r="87" spans="1:4" x14ac:dyDescent="0.25">
      <c r="A87" s="3" t="s">
        <v>273</v>
      </c>
      <c r="B87">
        <v>757.2</v>
      </c>
      <c r="C87">
        <v>2</v>
      </c>
      <c r="D87" s="22">
        <v>75.72</v>
      </c>
    </row>
    <row r="88" spans="1:4" x14ac:dyDescent="0.25">
      <c r="A88" s="3" t="s">
        <v>585</v>
      </c>
      <c r="B88">
        <v>757</v>
      </c>
      <c r="C88">
        <v>2</v>
      </c>
      <c r="D88" s="22">
        <v>75.7</v>
      </c>
    </row>
    <row r="89" spans="1:4" x14ac:dyDescent="0.25">
      <c r="A89" s="3" t="s">
        <v>171</v>
      </c>
      <c r="B89">
        <v>1445</v>
      </c>
      <c r="C89">
        <v>1</v>
      </c>
      <c r="D89" s="22">
        <v>72.250000000000014</v>
      </c>
    </row>
    <row r="90" spans="1:4" x14ac:dyDescent="0.25">
      <c r="A90" s="3" t="s">
        <v>159</v>
      </c>
      <c r="B90">
        <v>143</v>
      </c>
      <c r="C90">
        <v>5</v>
      </c>
      <c r="D90" s="22">
        <v>71.5</v>
      </c>
    </row>
    <row r="91" spans="1:4" x14ac:dyDescent="0.25">
      <c r="A91" s="3" t="s">
        <v>114</v>
      </c>
      <c r="B91">
        <v>69.599999999999994</v>
      </c>
      <c r="C91">
        <v>5</v>
      </c>
      <c r="D91" s="22">
        <v>69.599999999999994</v>
      </c>
    </row>
    <row r="92" spans="1:4" x14ac:dyDescent="0.25">
      <c r="A92" s="3" t="s">
        <v>502</v>
      </c>
      <c r="B92">
        <v>68.100000000000009</v>
      </c>
      <c r="C92">
        <v>5</v>
      </c>
      <c r="D92" s="22">
        <v>68.100000000000009</v>
      </c>
    </row>
    <row r="93" spans="1:4" x14ac:dyDescent="0.25">
      <c r="A93" s="3" t="s">
        <v>539</v>
      </c>
      <c r="B93">
        <v>336.6</v>
      </c>
      <c r="C93">
        <v>3</v>
      </c>
      <c r="D93" s="22">
        <v>67.320000000000007</v>
      </c>
    </row>
    <row r="94" spans="1:4" x14ac:dyDescent="0.25">
      <c r="A94" s="3" t="s">
        <v>271</v>
      </c>
      <c r="B94">
        <v>67.2</v>
      </c>
      <c r="C94">
        <v>5</v>
      </c>
      <c r="D94" s="22">
        <v>67.2</v>
      </c>
    </row>
    <row r="95" spans="1:4" x14ac:dyDescent="0.25">
      <c r="A95" s="3" t="s">
        <v>433</v>
      </c>
      <c r="B95">
        <v>67.2</v>
      </c>
      <c r="C95">
        <v>5</v>
      </c>
      <c r="D95" s="22">
        <v>67.2</v>
      </c>
    </row>
    <row r="96" spans="1:4" x14ac:dyDescent="0.25">
      <c r="A96" s="3" t="s">
        <v>222</v>
      </c>
      <c r="C96">
        <v>5</v>
      </c>
      <c r="D96" s="22">
        <v>66.666666666666671</v>
      </c>
    </row>
    <row r="97" spans="1:4" x14ac:dyDescent="0.25">
      <c r="A97" s="3" t="s">
        <v>218</v>
      </c>
      <c r="B97">
        <v>66</v>
      </c>
      <c r="C97">
        <v>5</v>
      </c>
      <c r="D97" s="22">
        <v>66</v>
      </c>
    </row>
    <row r="98" spans="1:4" x14ac:dyDescent="0.25">
      <c r="A98" s="3" t="s">
        <v>352</v>
      </c>
      <c r="B98">
        <v>315</v>
      </c>
      <c r="C98">
        <v>3</v>
      </c>
      <c r="D98" s="22">
        <v>63</v>
      </c>
    </row>
    <row r="99" spans="1:4" x14ac:dyDescent="0.25">
      <c r="A99" s="3" t="s">
        <v>213</v>
      </c>
      <c r="B99">
        <v>294</v>
      </c>
      <c r="C99">
        <v>3</v>
      </c>
      <c r="D99" s="22">
        <v>58.8</v>
      </c>
    </row>
    <row r="100" spans="1:4" x14ac:dyDescent="0.25">
      <c r="A100" s="3" t="s">
        <v>387</v>
      </c>
      <c r="B100">
        <v>282</v>
      </c>
      <c r="C100">
        <v>3</v>
      </c>
      <c r="D100" s="22">
        <v>56.4</v>
      </c>
    </row>
    <row r="101" spans="1:4" x14ac:dyDescent="0.25">
      <c r="A101" s="3" t="s">
        <v>571</v>
      </c>
      <c r="B101">
        <v>1066.5999999999999</v>
      </c>
      <c r="C101">
        <v>1</v>
      </c>
      <c r="D101" s="22">
        <v>53.33</v>
      </c>
    </row>
    <row r="102" spans="1:4" x14ac:dyDescent="0.25">
      <c r="A102" s="3" t="s">
        <v>339</v>
      </c>
      <c r="B102">
        <v>262.5</v>
      </c>
      <c r="C102">
        <v>3</v>
      </c>
      <c r="D102" s="22">
        <v>52.5</v>
      </c>
    </row>
    <row r="103" spans="1:4" x14ac:dyDescent="0.25">
      <c r="A103" s="3" t="s">
        <v>561</v>
      </c>
      <c r="B103">
        <v>947</v>
      </c>
      <c r="C103">
        <v>1</v>
      </c>
      <c r="D103" s="22">
        <v>47.35</v>
      </c>
    </row>
    <row r="104" spans="1:4" x14ac:dyDescent="0.25">
      <c r="A104" s="3" t="s">
        <v>413</v>
      </c>
      <c r="B104">
        <v>230</v>
      </c>
      <c r="C104">
        <v>3</v>
      </c>
      <c r="D104" s="22">
        <v>46</v>
      </c>
    </row>
    <row r="105" spans="1:4" x14ac:dyDescent="0.25">
      <c r="A105" s="3" t="s">
        <v>317</v>
      </c>
      <c r="B105">
        <v>452</v>
      </c>
      <c r="C105">
        <v>2</v>
      </c>
      <c r="D105" s="22">
        <v>45.2</v>
      </c>
    </row>
    <row r="106" spans="1:4" x14ac:dyDescent="0.25">
      <c r="A106" s="3" t="s">
        <v>496</v>
      </c>
      <c r="B106">
        <v>42.6</v>
      </c>
      <c r="C106">
        <v>5</v>
      </c>
      <c r="D106" s="22">
        <v>42.6</v>
      </c>
    </row>
    <row r="107" spans="1:4" x14ac:dyDescent="0.25">
      <c r="A107" s="3" t="s">
        <v>321</v>
      </c>
      <c r="B107">
        <v>200</v>
      </c>
      <c r="C107">
        <v>3</v>
      </c>
      <c r="D107" s="22">
        <v>40</v>
      </c>
    </row>
    <row r="108" spans="1:4" x14ac:dyDescent="0.25">
      <c r="A108" s="3" t="s">
        <v>536</v>
      </c>
      <c r="B108">
        <v>378.64</v>
      </c>
      <c r="C108">
        <v>2</v>
      </c>
      <c r="D108" s="22">
        <v>37.863999999999997</v>
      </c>
    </row>
    <row r="109" spans="1:4" x14ac:dyDescent="0.25">
      <c r="A109" s="3" t="s">
        <v>627</v>
      </c>
      <c r="B109">
        <v>187.35000000000002</v>
      </c>
      <c r="C109">
        <v>3</v>
      </c>
      <c r="D109" s="22">
        <v>37.470000000000006</v>
      </c>
    </row>
    <row r="110" spans="1:4" x14ac:dyDescent="0.25">
      <c r="A110" s="3" t="s">
        <v>591</v>
      </c>
      <c r="B110">
        <v>367</v>
      </c>
      <c r="C110">
        <v>2</v>
      </c>
      <c r="D110" s="22">
        <v>36.700000000000003</v>
      </c>
    </row>
    <row r="111" spans="1:4" x14ac:dyDescent="0.25">
      <c r="A111" s="3" t="s">
        <v>456</v>
      </c>
      <c r="B111">
        <v>360.6</v>
      </c>
      <c r="C111">
        <v>2</v>
      </c>
      <c r="D111" s="22">
        <v>36.060000000000009</v>
      </c>
    </row>
    <row r="112" spans="1:4" x14ac:dyDescent="0.25">
      <c r="A112" s="3" t="s">
        <v>547</v>
      </c>
      <c r="B112">
        <v>154</v>
      </c>
      <c r="C112">
        <v>3</v>
      </c>
      <c r="D112" s="22">
        <v>30.800000000000004</v>
      </c>
    </row>
    <row r="113" spans="1:4" x14ac:dyDescent="0.25">
      <c r="A113" s="3" t="s">
        <v>623</v>
      </c>
      <c r="B113">
        <v>151.6</v>
      </c>
      <c r="C113">
        <v>3</v>
      </c>
      <c r="D113" s="22">
        <v>30.320000000000004</v>
      </c>
    </row>
    <row r="114" spans="1:4" x14ac:dyDescent="0.25">
      <c r="A114" s="3" t="s">
        <v>559</v>
      </c>
      <c r="B114">
        <v>588.1</v>
      </c>
      <c r="C114">
        <v>1</v>
      </c>
      <c r="D114" s="22">
        <v>29.405000000000005</v>
      </c>
    </row>
    <row r="115" spans="1:4" x14ac:dyDescent="0.25">
      <c r="A115" s="3" t="s">
        <v>500</v>
      </c>
      <c r="B115">
        <v>279.5</v>
      </c>
      <c r="C115">
        <v>2</v>
      </c>
      <c r="D115" s="22">
        <v>27.950000000000003</v>
      </c>
    </row>
    <row r="116" spans="1:4" x14ac:dyDescent="0.25">
      <c r="A116" s="3" t="s">
        <v>411</v>
      </c>
      <c r="B116">
        <v>276</v>
      </c>
      <c r="C116">
        <v>2</v>
      </c>
      <c r="D116" s="22">
        <v>27.6</v>
      </c>
    </row>
    <row r="117" spans="1:4" x14ac:dyDescent="0.25">
      <c r="A117" s="3" t="s">
        <v>347</v>
      </c>
      <c r="B117">
        <v>233.10000000000002</v>
      </c>
      <c r="C117">
        <v>2</v>
      </c>
      <c r="D117" s="22">
        <v>23.310000000000002</v>
      </c>
    </row>
    <row r="118" spans="1:4" x14ac:dyDescent="0.25">
      <c r="A118" s="3" t="s">
        <v>555</v>
      </c>
      <c r="B118">
        <v>463.6</v>
      </c>
      <c r="C118">
        <v>1</v>
      </c>
      <c r="D118" s="22">
        <v>23.18</v>
      </c>
    </row>
    <row r="119" spans="1:4" x14ac:dyDescent="0.25">
      <c r="A119" s="3" t="s">
        <v>560</v>
      </c>
      <c r="B119">
        <v>434</v>
      </c>
      <c r="C119">
        <v>1</v>
      </c>
      <c r="D119" s="22">
        <v>21.7</v>
      </c>
    </row>
    <row r="120" spans="1:4" x14ac:dyDescent="0.25">
      <c r="A120" s="3" t="s">
        <v>506</v>
      </c>
      <c r="C120">
        <v>5</v>
      </c>
      <c r="D120" s="22">
        <v>20</v>
      </c>
    </row>
    <row r="121" spans="1:4" x14ac:dyDescent="0.25">
      <c r="A121" s="3" t="s">
        <v>482</v>
      </c>
      <c r="C121">
        <v>5</v>
      </c>
      <c r="D121" s="22">
        <v>20</v>
      </c>
    </row>
    <row r="122" spans="1:4" x14ac:dyDescent="0.25">
      <c r="A122" s="3" t="s">
        <v>491</v>
      </c>
      <c r="C122">
        <v>5</v>
      </c>
      <c r="D122" s="22">
        <v>20</v>
      </c>
    </row>
    <row r="123" spans="1:4" x14ac:dyDescent="0.25">
      <c r="A123" s="3" t="s">
        <v>384</v>
      </c>
      <c r="C123">
        <v>5</v>
      </c>
      <c r="D123" s="22">
        <v>20</v>
      </c>
    </row>
    <row r="124" spans="1:4" x14ac:dyDescent="0.25">
      <c r="A124" s="3" t="s">
        <v>518</v>
      </c>
      <c r="C124">
        <v>5</v>
      </c>
      <c r="D124" s="22">
        <v>20</v>
      </c>
    </row>
    <row r="125" spans="1:4" x14ac:dyDescent="0.25">
      <c r="A125" s="3" t="s">
        <v>452</v>
      </c>
      <c r="B125">
        <v>362.6</v>
      </c>
      <c r="C125">
        <v>1</v>
      </c>
      <c r="D125" s="22">
        <v>18.130000000000003</v>
      </c>
    </row>
    <row r="126" spans="1:4" x14ac:dyDescent="0.25">
      <c r="A126" s="3" t="s">
        <v>361</v>
      </c>
      <c r="B126">
        <v>72</v>
      </c>
      <c r="C126">
        <v>3</v>
      </c>
      <c r="D126" s="22">
        <v>14.399999999999999</v>
      </c>
    </row>
    <row r="127" spans="1:4" x14ac:dyDescent="0.25">
      <c r="A127" s="3" t="s">
        <v>532</v>
      </c>
      <c r="B127">
        <v>118.64</v>
      </c>
      <c r="C127">
        <v>2</v>
      </c>
      <c r="D127" s="22">
        <v>11.864000000000001</v>
      </c>
    </row>
    <row r="128" spans="1:4" x14ac:dyDescent="0.25">
      <c r="A128" s="3" t="s">
        <v>498</v>
      </c>
      <c r="B128">
        <v>42.6</v>
      </c>
      <c r="C128">
        <v>2</v>
      </c>
      <c r="D128" s="22">
        <v>4.26</v>
      </c>
    </row>
    <row r="129" spans="1:4" x14ac:dyDescent="0.25">
      <c r="A129" s="3" t="s">
        <v>472</v>
      </c>
      <c r="C129">
        <v>3</v>
      </c>
      <c r="D129" s="22">
        <v>4</v>
      </c>
    </row>
    <row r="130" spans="1:4" x14ac:dyDescent="0.25">
      <c r="A130" s="3" t="s">
        <v>516</v>
      </c>
      <c r="C130">
        <v>3</v>
      </c>
      <c r="D130" s="22">
        <v>4</v>
      </c>
    </row>
    <row r="131" spans="1:4" x14ac:dyDescent="0.25">
      <c r="A131" s="3" t="s">
        <v>477</v>
      </c>
      <c r="C131">
        <v>3</v>
      </c>
      <c r="D131" s="22">
        <v>4</v>
      </c>
    </row>
    <row r="132" spans="1:4" x14ac:dyDescent="0.25">
      <c r="A132" s="3" t="s">
        <v>475</v>
      </c>
      <c r="C132">
        <v>1</v>
      </c>
      <c r="D132" s="22">
        <v>1</v>
      </c>
    </row>
    <row r="133" spans="1:4" x14ac:dyDescent="0.25">
      <c r="A133" s="3" t="s">
        <v>485</v>
      </c>
      <c r="C133">
        <v>1</v>
      </c>
      <c r="D133" s="22">
        <v>1</v>
      </c>
    </row>
    <row r="134" spans="1:4" x14ac:dyDescent="0.25">
      <c r="A134" s="3" t="s">
        <v>487</v>
      </c>
      <c r="C134">
        <v>1</v>
      </c>
      <c r="D134" s="22">
        <v>1</v>
      </c>
    </row>
    <row r="135" spans="1:4" x14ac:dyDescent="0.25">
      <c r="A135" s="3" t="s">
        <v>629</v>
      </c>
      <c r="B135">
        <v>49612.109999999957</v>
      </c>
      <c r="C135">
        <v>3.84375</v>
      </c>
      <c r="D135">
        <v>178.01305137310604</v>
      </c>
    </row>
  </sheetData>
  <conditionalFormatting sqref="C2:C4 C136:C1048576">
    <cfRule type="colorScale" priority="13">
      <colorScale>
        <cfvo type="min"/>
        <cfvo type="percentile" val="50"/>
        <cfvo type="max"/>
        <color rgb="FFF8696B"/>
        <color rgb="FFFFEB84"/>
        <color rgb="FF63BE7B"/>
      </colorScale>
    </cfRule>
  </conditionalFormatting>
  <conditionalFormatting sqref="C2:C4 C179:C1048576">
    <cfRule type="colorScale" priority="14">
      <colorScale>
        <cfvo type="min"/>
        <cfvo type="percentile" val="50"/>
        <cfvo type="max"/>
        <color rgb="FFF8696B"/>
        <color rgb="FFFFEB84"/>
        <color rgb="FF63BE7B"/>
      </colorScale>
    </cfRule>
  </conditionalFormatting>
  <conditionalFormatting sqref="C6">
    <cfRule type="colorScale" priority="7">
      <colorScale>
        <cfvo type="min"/>
        <cfvo type="percentile" val="50"/>
        <cfvo type="max"/>
        <color rgb="FFF8696B"/>
        <color rgb="FFFFEB84"/>
        <color rgb="FF63BE7B"/>
      </colorScale>
    </cfRule>
  </conditionalFormatting>
  <conditionalFormatting pivot="1" sqref="D7:D13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C0D78-4030-4463-881A-0FE4CCEE039B}">
  <dimension ref="A1:D31"/>
  <sheetViews>
    <sheetView workbookViewId="0">
      <selection activeCell="E16" sqref="E16"/>
    </sheetView>
  </sheetViews>
  <sheetFormatPr defaultRowHeight="15" x14ac:dyDescent="0.25"/>
  <cols>
    <col min="1" max="1" width="44.42578125" bestFit="1" customWidth="1"/>
    <col min="2" max="2" width="16.140625" bestFit="1" customWidth="1"/>
    <col min="3" max="3" width="28.5703125" bestFit="1" customWidth="1"/>
    <col min="4" max="4" width="11.42578125" bestFit="1" customWidth="1"/>
    <col min="5" max="5" width="17.85546875" bestFit="1" customWidth="1"/>
    <col min="6" max="6" width="10.5703125" bestFit="1" customWidth="1"/>
    <col min="7" max="7" width="12.42578125" bestFit="1" customWidth="1"/>
    <col min="8" max="8" width="6.140625" bestFit="1" customWidth="1"/>
    <col min="9" max="9" width="11" bestFit="1" customWidth="1"/>
    <col min="10" max="10" width="11.5703125" bestFit="1" customWidth="1"/>
    <col min="11" max="11" width="7.85546875" bestFit="1" customWidth="1"/>
    <col min="12" max="12" width="9.85546875" bestFit="1" customWidth="1"/>
    <col min="13" max="13" width="11" bestFit="1" customWidth="1"/>
    <col min="14" max="14" width="10.140625" bestFit="1" customWidth="1"/>
    <col min="15" max="15" width="10.42578125" bestFit="1" customWidth="1"/>
    <col min="16" max="16" width="7.42578125" bestFit="1" customWidth="1"/>
    <col min="17" max="17" width="9.5703125" bestFit="1" customWidth="1"/>
    <col min="18" max="18" width="8.85546875" bestFit="1" customWidth="1"/>
    <col min="19" max="19" width="9.5703125" bestFit="1" customWidth="1"/>
    <col min="20" max="20" width="10.140625" bestFit="1" customWidth="1"/>
    <col min="21" max="21" width="9.42578125" bestFit="1" customWidth="1"/>
    <col min="22" max="22" width="13.85546875" bestFit="1" customWidth="1"/>
    <col min="23" max="23" width="9.42578125" bestFit="1" customWidth="1"/>
    <col min="24" max="24" width="11.140625" bestFit="1" customWidth="1"/>
    <col min="25" max="25" width="9.85546875" bestFit="1" customWidth="1"/>
    <col min="26" max="26" width="8.42578125" bestFit="1" customWidth="1"/>
    <col min="27" max="27" width="5.5703125" bestFit="1" customWidth="1"/>
    <col min="28" max="28" width="8.85546875" bestFit="1" customWidth="1"/>
    <col min="29" max="29" width="9" bestFit="1" customWidth="1"/>
    <col min="30" max="30" width="11" bestFit="1" customWidth="1"/>
    <col min="31" max="31" width="7.140625" bestFit="1" customWidth="1"/>
    <col min="32" max="33" width="9.5703125" bestFit="1" customWidth="1"/>
    <col min="34" max="34" width="11.85546875" bestFit="1" customWidth="1"/>
    <col min="35" max="35" width="12.42578125" bestFit="1" customWidth="1"/>
    <col min="36" max="36" width="10.5703125" bestFit="1" customWidth="1"/>
    <col min="37" max="37" width="9.42578125" bestFit="1" customWidth="1"/>
    <col min="38" max="38" width="17.42578125" bestFit="1" customWidth="1"/>
    <col min="39" max="39" width="10.5703125" bestFit="1" customWidth="1"/>
    <col min="40" max="40" width="9.42578125" bestFit="1" customWidth="1"/>
    <col min="41" max="41" width="7.140625" bestFit="1" customWidth="1"/>
    <col min="42" max="42" width="25.140625" bestFit="1" customWidth="1"/>
    <col min="43" max="43" width="9.140625" bestFit="1" customWidth="1"/>
    <col min="44" max="44" width="7" bestFit="1" customWidth="1"/>
    <col min="45" max="45" width="15.140625" bestFit="1" customWidth="1"/>
    <col min="46" max="46" width="10.5703125" bestFit="1" customWidth="1"/>
    <col min="47" max="47" width="12.42578125" bestFit="1" customWidth="1"/>
    <col min="48" max="48" width="6.140625" bestFit="1" customWidth="1"/>
    <col min="49" max="49" width="11" bestFit="1" customWidth="1"/>
    <col min="50" max="50" width="11.5703125" bestFit="1" customWidth="1"/>
    <col min="51" max="51" width="7.85546875" bestFit="1" customWidth="1"/>
    <col min="52" max="52" width="9.85546875" bestFit="1" customWidth="1"/>
    <col min="53" max="53" width="11" bestFit="1" customWidth="1"/>
    <col min="54" max="54" width="10.140625" bestFit="1" customWidth="1"/>
    <col min="55" max="55" width="10.42578125" bestFit="1" customWidth="1"/>
    <col min="56" max="56" width="7.42578125" bestFit="1" customWidth="1"/>
    <col min="57" max="57" width="9.5703125" bestFit="1" customWidth="1"/>
    <col min="58" max="58" width="8.85546875" bestFit="1" customWidth="1"/>
    <col min="59" max="59" width="9.5703125" bestFit="1" customWidth="1"/>
    <col min="60" max="60" width="10.140625" bestFit="1" customWidth="1"/>
    <col min="61" max="61" width="9.42578125" bestFit="1" customWidth="1"/>
    <col min="62" max="62" width="13.85546875" bestFit="1" customWidth="1"/>
    <col min="63" max="63" width="9.42578125" bestFit="1" customWidth="1"/>
    <col min="64" max="64" width="11.140625" bestFit="1" customWidth="1"/>
    <col min="65" max="65" width="9.85546875" bestFit="1" customWidth="1"/>
    <col min="66" max="66" width="8.42578125" bestFit="1" customWidth="1"/>
    <col min="67" max="67" width="5.5703125" bestFit="1" customWidth="1"/>
    <col min="68" max="68" width="8.85546875" bestFit="1" customWidth="1"/>
    <col min="69" max="69" width="9" bestFit="1" customWidth="1"/>
    <col min="70" max="70" width="11" bestFit="1" customWidth="1"/>
    <col min="71" max="71" width="7.140625" bestFit="1" customWidth="1"/>
    <col min="72" max="73" width="9.5703125" bestFit="1" customWidth="1"/>
    <col min="74" max="74" width="11.85546875" bestFit="1" customWidth="1"/>
    <col min="75" max="75" width="12.42578125" bestFit="1" customWidth="1"/>
    <col min="76" max="76" width="10.5703125" bestFit="1" customWidth="1"/>
    <col min="77" max="77" width="9.42578125" bestFit="1" customWidth="1"/>
    <col min="78" max="78" width="17.42578125" bestFit="1" customWidth="1"/>
    <col min="79" max="79" width="10.5703125" bestFit="1" customWidth="1"/>
    <col min="80" max="80" width="9.42578125" bestFit="1" customWidth="1"/>
    <col min="81" max="81" width="7.140625" bestFit="1" customWidth="1"/>
    <col min="82" max="82" width="39.42578125" bestFit="1" customWidth="1"/>
    <col min="83" max="83" width="9.140625" bestFit="1" customWidth="1"/>
    <col min="84" max="84" width="7" bestFit="1" customWidth="1"/>
    <col min="85" max="85" width="15.140625" bestFit="1" customWidth="1"/>
    <col min="86" max="86" width="10.5703125" bestFit="1" customWidth="1"/>
    <col min="87" max="87" width="12.42578125" bestFit="1" customWidth="1"/>
    <col min="88" max="88" width="6.140625" bestFit="1" customWidth="1"/>
    <col min="89" max="89" width="11" bestFit="1" customWidth="1"/>
    <col min="90" max="90" width="11.5703125" bestFit="1" customWidth="1"/>
    <col min="91" max="91" width="7.85546875" bestFit="1" customWidth="1"/>
    <col min="92" max="92" width="9.85546875" bestFit="1" customWidth="1"/>
    <col min="93" max="93" width="11" bestFit="1" customWidth="1"/>
    <col min="94" max="94" width="10.140625" bestFit="1" customWidth="1"/>
    <col min="95" max="95" width="10.42578125" bestFit="1" customWidth="1"/>
    <col min="96" max="96" width="7.42578125" bestFit="1" customWidth="1"/>
    <col min="97" max="97" width="9.5703125" bestFit="1" customWidth="1"/>
    <col min="98" max="98" width="8.85546875" bestFit="1" customWidth="1"/>
    <col min="99" max="99" width="9.5703125" bestFit="1" customWidth="1"/>
    <col min="100" max="100" width="10.140625" bestFit="1" customWidth="1"/>
    <col min="101" max="101" width="9.42578125" bestFit="1" customWidth="1"/>
    <col min="102" max="102" width="13.85546875" bestFit="1" customWidth="1"/>
    <col min="103" max="103" width="9.42578125" bestFit="1" customWidth="1"/>
    <col min="104" max="104" width="11.140625" bestFit="1" customWidth="1"/>
    <col min="105" max="105" width="9.85546875" bestFit="1" customWidth="1"/>
    <col min="106" max="106" width="8.42578125" bestFit="1" customWidth="1"/>
    <col min="107" max="107" width="5.5703125" bestFit="1" customWidth="1"/>
    <col min="108" max="108" width="8.85546875" bestFit="1" customWidth="1"/>
    <col min="109" max="109" width="9" bestFit="1" customWidth="1"/>
    <col min="110" max="110" width="11" bestFit="1" customWidth="1"/>
    <col min="111" max="111" width="7.140625" bestFit="1" customWidth="1"/>
    <col min="112" max="113" width="9.5703125" bestFit="1" customWidth="1"/>
    <col min="114" max="114" width="11.85546875" bestFit="1" customWidth="1"/>
    <col min="115" max="115" width="12.42578125" bestFit="1" customWidth="1"/>
    <col min="116" max="116" width="10.5703125" bestFit="1" customWidth="1"/>
    <col min="117" max="117" width="9.42578125" bestFit="1" customWidth="1"/>
    <col min="118" max="118" width="17.42578125" bestFit="1" customWidth="1"/>
    <col min="119" max="119" width="10.5703125" bestFit="1" customWidth="1"/>
    <col min="120" max="120" width="9.42578125" bestFit="1" customWidth="1"/>
    <col min="121" max="121" width="7.140625" bestFit="1" customWidth="1"/>
    <col min="122" max="122" width="29.5703125" bestFit="1" customWidth="1"/>
    <col min="123" max="123" width="30" bestFit="1" customWidth="1"/>
    <col min="124" max="124" width="44.140625" bestFit="1" customWidth="1"/>
  </cols>
  <sheetData>
    <row r="1" spans="1:4" x14ac:dyDescent="0.25">
      <c r="A1" s="14" t="s">
        <v>63</v>
      </c>
      <c r="B1" t="s">
        <v>615</v>
      </c>
      <c r="C1" t="s">
        <v>633</v>
      </c>
    </row>
    <row r="2" spans="1:4" x14ac:dyDescent="0.25">
      <c r="A2" s="14" t="s">
        <v>57</v>
      </c>
      <c r="B2" t="s">
        <v>630</v>
      </c>
      <c r="C2" t="s">
        <v>634</v>
      </c>
    </row>
    <row r="3" spans="1:4" x14ac:dyDescent="0.25">
      <c r="A3" s="14" t="s">
        <v>50</v>
      </c>
      <c r="B3" t="s">
        <v>615</v>
      </c>
      <c r="C3" t="s">
        <v>635</v>
      </c>
    </row>
    <row r="5" spans="1:4" ht="75" x14ac:dyDescent="0.25">
      <c r="A5" s="14" t="s">
        <v>619</v>
      </c>
      <c r="B5" s="15" t="s">
        <v>620</v>
      </c>
      <c r="C5" s="15" t="s">
        <v>621</v>
      </c>
      <c r="D5" s="15" t="s">
        <v>622</v>
      </c>
    </row>
    <row r="6" spans="1:4" x14ac:dyDescent="0.25">
      <c r="A6" s="3" t="s">
        <v>624</v>
      </c>
      <c r="B6">
        <v>5</v>
      </c>
      <c r="C6">
        <v>16</v>
      </c>
      <c r="D6">
        <v>1269</v>
      </c>
    </row>
    <row r="7" spans="1:4" x14ac:dyDescent="0.25">
      <c r="A7" s="3" t="s">
        <v>582</v>
      </c>
      <c r="B7">
        <v>3</v>
      </c>
      <c r="C7">
        <v>16</v>
      </c>
      <c r="D7">
        <v>1235</v>
      </c>
    </row>
    <row r="8" spans="1:4" x14ac:dyDescent="0.25">
      <c r="A8" s="3" t="s">
        <v>244</v>
      </c>
      <c r="B8">
        <v>5</v>
      </c>
      <c r="C8">
        <v>16</v>
      </c>
      <c r="D8">
        <v>1221</v>
      </c>
    </row>
    <row r="9" spans="1:4" x14ac:dyDescent="0.25">
      <c r="A9" s="3" t="s">
        <v>626</v>
      </c>
      <c r="B9">
        <v>3</v>
      </c>
      <c r="C9">
        <v>15</v>
      </c>
      <c r="D9">
        <v>1161</v>
      </c>
    </row>
    <row r="10" spans="1:4" x14ac:dyDescent="0.25">
      <c r="A10" s="3" t="s">
        <v>240</v>
      </c>
      <c r="B10">
        <v>3</v>
      </c>
      <c r="C10">
        <v>13</v>
      </c>
      <c r="D10">
        <v>1113</v>
      </c>
    </row>
    <row r="11" spans="1:4" x14ac:dyDescent="0.25">
      <c r="A11" s="3" t="s">
        <v>574</v>
      </c>
      <c r="B11">
        <v>3</v>
      </c>
      <c r="C11">
        <v>15</v>
      </c>
      <c r="D11">
        <v>980</v>
      </c>
    </row>
    <row r="12" spans="1:4" x14ac:dyDescent="0.25">
      <c r="A12" s="3" t="s">
        <v>561</v>
      </c>
      <c r="B12">
        <v>1</v>
      </c>
      <c r="C12">
        <v>14</v>
      </c>
      <c r="D12">
        <v>947</v>
      </c>
    </row>
    <row r="13" spans="1:4" x14ac:dyDescent="0.25">
      <c r="A13" s="3" t="s">
        <v>510</v>
      </c>
      <c r="B13">
        <v>3</v>
      </c>
      <c r="C13">
        <v>13</v>
      </c>
      <c r="D13">
        <v>880</v>
      </c>
    </row>
    <row r="14" spans="1:4" x14ac:dyDescent="0.25">
      <c r="A14" s="3" t="s">
        <v>181</v>
      </c>
      <c r="B14">
        <v>5</v>
      </c>
      <c r="C14">
        <v>15</v>
      </c>
      <c r="D14">
        <v>800</v>
      </c>
    </row>
    <row r="15" spans="1:4" x14ac:dyDescent="0.25">
      <c r="A15" s="3" t="s">
        <v>585</v>
      </c>
      <c r="B15">
        <v>2</v>
      </c>
      <c r="C15">
        <v>13</v>
      </c>
      <c r="D15">
        <v>757</v>
      </c>
    </row>
    <row r="16" spans="1:4" x14ac:dyDescent="0.25">
      <c r="A16" s="3" t="s">
        <v>295</v>
      </c>
      <c r="B16">
        <v>5</v>
      </c>
      <c r="C16">
        <v>16</v>
      </c>
      <c r="D16">
        <v>749</v>
      </c>
    </row>
    <row r="17" spans="1:4" x14ac:dyDescent="0.25">
      <c r="A17" s="3" t="s">
        <v>628</v>
      </c>
      <c r="B17">
        <v>3</v>
      </c>
      <c r="C17">
        <v>13</v>
      </c>
      <c r="D17">
        <v>644</v>
      </c>
    </row>
    <row r="18" spans="1:4" x14ac:dyDescent="0.25">
      <c r="A18" s="3" t="s">
        <v>298</v>
      </c>
      <c r="B18">
        <v>3</v>
      </c>
      <c r="C18">
        <v>13</v>
      </c>
      <c r="D18">
        <v>642</v>
      </c>
    </row>
    <row r="19" spans="1:4" x14ac:dyDescent="0.25">
      <c r="A19" s="3" t="s">
        <v>419</v>
      </c>
      <c r="B19">
        <v>3</v>
      </c>
      <c r="C19">
        <v>13</v>
      </c>
      <c r="D19">
        <v>583</v>
      </c>
    </row>
    <row r="20" spans="1:4" x14ac:dyDescent="0.25">
      <c r="A20" s="3" t="s">
        <v>590</v>
      </c>
      <c r="B20">
        <v>5</v>
      </c>
      <c r="C20">
        <v>16</v>
      </c>
      <c r="D20">
        <v>563</v>
      </c>
    </row>
    <row r="21" spans="1:4" x14ac:dyDescent="0.25">
      <c r="A21" s="3" t="s">
        <v>596</v>
      </c>
      <c r="B21">
        <v>5</v>
      </c>
      <c r="C21">
        <v>17</v>
      </c>
      <c r="D21">
        <v>548</v>
      </c>
    </row>
    <row r="22" spans="1:4" x14ac:dyDescent="0.25">
      <c r="A22" s="3" t="s">
        <v>150</v>
      </c>
      <c r="B22">
        <v>3</v>
      </c>
      <c r="C22">
        <v>15</v>
      </c>
      <c r="D22">
        <v>525</v>
      </c>
    </row>
    <row r="23" spans="1:4" x14ac:dyDescent="0.25">
      <c r="A23" s="3" t="s">
        <v>254</v>
      </c>
      <c r="B23">
        <v>5</v>
      </c>
      <c r="C23">
        <v>14</v>
      </c>
      <c r="D23">
        <v>455</v>
      </c>
    </row>
    <row r="24" spans="1:4" x14ac:dyDescent="0.25">
      <c r="A24" s="3" t="s">
        <v>317</v>
      </c>
      <c r="B24">
        <v>2</v>
      </c>
      <c r="C24">
        <v>14</v>
      </c>
      <c r="D24">
        <v>452</v>
      </c>
    </row>
    <row r="25" spans="1:4" x14ac:dyDescent="0.25">
      <c r="A25" s="3" t="s">
        <v>399</v>
      </c>
      <c r="B25">
        <v>5</v>
      </c>
      <c r="C25">
        <v>15</v>
      </c>
      <c r="D25">
        <v>447</v>
      </c>
    </row>
    <row r="26" spans="1:4" x14ac:dyDescent="0.25">
      <c r="A26" s="3" t="s">
        <v>560</v>
      </c>
      <c r="B26">
        <v>1</v>
      </c>
      <c r="C26">
        <v>12</v>
      </c>
      <c r="D26">
        <v>434</v>
      </c>
    </row>
    <row r="27" spans="1:4" x14ac:dyDescent="0.25">
      <c r="A27" s="3" t="s">
        <v>184</v>
      </c>
      <c r="B27">
        <v>5</v>
      </c>
      <c r="C27">
        <v>18</v>
      </c>
      <c r="D27">
        <v>425</v>
      </c>
    </row>
    <row r="28" spans="1:4" x14ac:dyDescent="0.25">
      <c r="A28" s="3" t="s">
        <v>125</v>
      </c>
      <c r="B28">
        <v>5</v>
      </c>
      <c r="C28">
        <v>18</v>
      </c>
      <c r="D28">
        <v>395</v>
      </c>
    </row>
    <row r="29" spans="1:4" x14ac:dyDescent="0.25">
      <c r="A29" s="3" t="s">
        <v>591</v>
      </c>
      <c r="B29">
        <v>2</v>
      </c>
      <c r="C29">
        <v>13</v>
      </c>
      <c r="D29">
        <v>367</v>
      </c>
    </row>
    <row r="30" spans="1:4" x14ac:dyDescent="0.25">
      <c r="A30" s="3" t="s">
        <v>230</v>
      </c>
      <c r="B30">
        <v>5</v>
      </c>
      <c r="C30">
        <v>15</v>
      </c>
      <c r="D30">
        <v>310</v>
      </c>
    </row>
    <row r="31" spans="1:4" x14ac:dyDescent="0.25">
      <c r="A31" s="3" t="s">
        <v>629</v>
      </c>
      <c r="B31">
        <v>3.6</v>
      </c>
      <c r="C31">
        <v>14.72</v>
      </c>
      <c r="D31">
        <v>17902</v>
      </c>
    </row>
  </sheetData>
  <conditionalFormatting sqref="C1:C3 C180:C1048576">
    <cfRule type="colorScale" priority="7">
      <colorScale>
        <cfvo type="min"/>
        <cfvo type="percentile" val="50"/>
        <cfvo type="max"/>
        <color rgb="FFF8696B"/>
        <color rgb="FFFFEB84"/>
        <color rgb="FF63BE7B"/>
      </colorScale>
    </cfRule>
  </conditionalFormatting>
  <conditionalFormatting pivot="1" sqref="D8 D6 D14 D16 D20:D21 D23 D25 D27:D28 D30">
    <cfRule type="colorScale" priority="6">
      <colorScale>
        <cfvo type="min"/>
        <cfvo type="percentile" val="50"/>
        <cfvo type="max"/>
        <color rgb="FFF8696B"/>
        <color rgb="FFFFEB84"/>
        <color rgb="FF63BE7B"/>
      </colorScale>
    </cfRule>
  </conditionalFormatting>
  <conditionalFormatting pivot="1" sqref="D6:D11 D13:D14 D16:D23 D25 D27:D28 D30">
    <cfRule type="colorScale" priority="5">
      <colorScale>
        <cfvo type="min"/>
        <cfvo type="percentile" val="50"/>
        <cfvo type="max"/>
        <color rgb="FFF8696B"/>
        <color rgb="FFFFEB84"/>
        <color rgb="FF63BE7B"/>
      </colorScale>
    </cfRule>
  </conditionalFormatting>
  <conditionalFormatting pivot="1" sqref="D6:D30">
    <cfRule type="colorScale" priority="2">
      <colorScale>
        <cfvo type="min"/>
        <cfvo type="percentile" val="50"/>
        <cfvo type="max"/>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ED0E0-2CDA-4BF1-BF9B-D4AB1C07DFB8}">
  <dimension ref="A1:H177"/>
  <sheetViews>
    <sheetView workbookViewId="0"/>
  </sheetViews>
  <sheetFormatPr defaultRowHeight="15" x14ac:dyDescent="0.25"/>
  <cols>
    <col min="1" max="1" width="18.42578125" customWidth="1"/>
    <col min="2" max="8" width="13.140625" customWidth="1"/>
  </cols>
  <sheetData>
    <row r="1" spans="1:8" ht="75" x14ac:dyDescent="0.25">
      <c r="A1" s="60" t="s">
        <v>619</v>
      </c>
      <c r="B1" s="60" t="s">
        <v>636</v>
      </c>
      <c r="C1" s="60" t="s">
        <v>637</v>
      </c>
      <c r="D1" s="60" t="s">
        <v>638</v>
      </c>
      <c r="E1" s="60" t="s">
        <v>639</v>
      </c>
      <c r="F1" s="60" t="s">
        <v>640</v>
      </c>
      <c r="G1" s="60" t="s">
        <v>641</v>
      </c>
      <c r="H1" s="60" t="s">
        <v>642</v>
      </c>
    </row>
    <row r="2" spans="1:8" x14ac:dyDescent="0.25">
      <c r="A2" t="s">
        <v>147</v>
      </c>
      <c r="B2">
        <v>19</v>
      </c>
      <c r="C2">
        <v>20</v>
      </c>
      <c r="D2">
        <v>127.49999999999999</v>
      </c>
      <c r="E2">
        <v>14</v>
      </c>
      <c r="F2">
        <v>14</v>
      </c>
      <c r="G2">
        <v>14</v>
      </c>
      <c r="H2">
        <v>15</v>
      </c>
    </row>
    <row r="3" spans="1:8" x14ac:dyDescent="0.25">
      <c r="A3" t="s">
        <v>271</v>
      </c>
      <c r="B3">
        <v>18</v>
      </c>
      <c r="C3">
        <v>40</v>
      </c>
      <c r="D3">
        <v>33.6</v>
      </c>
      <c r="E3">
        <v>13</v>
      </c>
      <c r="F3">
        <v>13</v>
      </c>
      <c r="G3">
        <v>13</v>
      </c>
      <c r="H3">
        <v>15</v>
      </c>
    </row>
    <row r="4" spans="1:8" x14ac:dyDescent="0.25">
      <c r="A4" t="s">
        <v>184</v>
      </c>
      <c r="B4">
        <v>18</v>
      </c>
      <c r="C4">
        <v>20</v>
      </c>
      <c r="D4">
        <v>212.5</v>
      </c>
      <c r="E4">
        <v>13</v>
      </c>
      <c r="F4">
        <v>13</v>
      </c>
      <c r="G4">
        <v>13</v>
      </c>
      <c r="H4">
        <v>15</v>
      </c>
    </row>
    <row r="5" spans="1:8" x14ac:dyDescent="0.25">
      <c r="A5" t="s">
        <v>125</v>
      </c>
      <c r="B5">
        <v>18</v>
      </c>
      <c r="C5">
        <v>15</v>
      </c>
      <c r="D5">
        <v>197.5</v>
      </c>
      <c r="E5">
        <v>13</v>
      </c>
      <c r="F5">
        <v>13</v>
      </c>
      <c r="G5">
        <v>13</v>
      </c>
      <c r="H5">
        <v>15</v>
      </c>
    </row>
    <row r="6" spans="1:8" x14ac:dyDescent="0.25">
      <c r="A6" t="s">
        <v>114</v>
      </c>
      <c r="B6">
        <v>17</v>
      </c>
      <c r="C6">
        <v>10</v>
      </c>
      <c r="D6">
        <v>34.799999999999997</v>
      </c>
      <c r="E6">
        <v>12</v>
      </c>
      <c r="F6">
        <v>12</v>
      </c>
      <c r="G6">
        <v>12</v>
      </c>
      <c r="H6">
        <v>15</v>
      </c>
    </row>
    <row r="7" spans="1:8" x14ac:dyDescent="0.25">
      <c r="A7" t="s">
        <v>222</v>
      </c>
      <c r="B7">
        <v>17</v>
      </c>
      <c r="C7">
        <v>35</v>
      </c>
      <c r="D7" t="e">
        <v>#DIV/0!</v>
      </c>
      <c r="E7">
        <v>12</v>
      </c>
      <c r="F7">
        <v>12</v>
      </c>
      <c r="G7">
        <v>12</v>
      </c>
      <c r="H7">
        <v>15</v>
      </c>
    </row>
    <row r="8" spans="1:8" x14ac:dyDescent="0.25">
      <c r="A8" t="s">
        <v>140</v>
      </c>
      <c r="B8">
        <v>18</v>
      </c>
      <c r="C8">
        <v>15</v>
      </c>
      <c r="D8">
        <v>469.5</v>
      </c>
      <c r="E8">
        <v>13</v>
      </c>
      <c r="F8">
        <v>13</v>
      </c>
      <c r="G8">
        <v>14</v>
      </c>
      <c r="H8">
        <v>14</v>
      </c>
    </row>
    <row r="9" spans="1:8" x14ac:dyDescent="0.25">
      <c r="A9" t="s">
        <v>136</v>
      </c>
      <c r="B9">
        <v>17</v>
      </c>
      <c r="C9">
        <v>15</v>
      </c>
      <c r="D9">
        <v>450.50000000000006</v>
      </c>
      <c r="E9">
        <v>12</v>
      </c>
      <c r="F9">
        <v>12</v>
      </c>
      <c r="G9">
        <v>13</v>
      </c>
      <c r="H9">
        <v>14</v>
      </c>
    </row>
    <row r="10" spans="1:8" x14ac:dyDescent="0.25">
      <c r="A10" t="s">
        <v>83</v>
      </c>
      <c r="B10">
        <v>17</v>
      </c>
      <c r="C10">
        <v>5</v>
      </c>
      <c r="D10">
        <v>151.9</v>
      </c>
      <c r="E10">
        <v>12</v>
      </c>
      <c r="F10">
        <v>12</v>
      </c>
      <c r="G10">
        <v>13</v>
      </c>
      <c r="H10">
        <v>14</v>
      </c>
    </row>
    <row r="11" spans="1:8" x14ac:dyDescent="0.25">
      <c r="A11" t="s">
        <v>596</v>
      </c>
      <c r="B11">
        <v>17</v>
      </c>
      <c r="C11">
        <v>200</v>
      </c>
      <c r="D11">
        <v>274</v>
      </c>
      <c r="E11">
        <v>12</v>
      </c>
      <c r="F11">
        <v>12</v>
      </c>
      <c r="G11">
        <v>13</v>
      </c>
      <c r="H11">
        <v>14</v>
      </c>
    </row>
    <row r="12" spans="1:8" x14ac:dyDescent="0.25">
      <c r="A12" t="s">
        <v>87</v>
      </c>
      <c r="B12">
        <v>17</v>
      </c>
      <c r="C12">
        <v>5</v>
      </c>
      <c r="D12">
        <v>87.09</v>
      </c>
      <c r="E12">
        <v>12</v>
      </c>
      <c r="F12">
        <v>12</v>
      </c>
      <c r="G12">
        <v>13</v>
      </c>
      <c r="H12">
        <v>14</v>
      </c>
    </row>
    <row r="13" spans="1:8" x14ac:dyDescent="0.25">
      <c r="A13" t="s">
        <v>187</v>
      </c>
      <c r="B13">
        <v>16</v>
      </c>
      <c r="C13">
        <v>25</v>
      </c>
      <c r="D13">
        <v>225.25</v>
      </c>
      <c r="E13">
        <v>11</v>
      </c>
      <c r="F13">
        <v>11</v>
      </c>
      <c r="G13">
        <v>12</v>
      </c>
      <c r="H13">
        <v>14</v>
      </c>
    </row>
    <row r="14" spans="1:8" x14ac:dyDescent="0.25">
      <c r="A14" t="s">
        <v>119</v>
      </c>
      <c r="B14">
        <v>16</v>
      </c>
      <c r="C14">
        <v>10</v>
      </c>
      <c r="D14">
        <v>367.8</v>
      </c>
      <c r="E14">
        <v>11</v>
      </c>
      <c r="F14">
        <v>11</v>
      </c>
      <c r="G14">
        <v>12</v>
      </c>
      <c r="H14">
        <v>14</v>
      </c>
    </row>
    <row r="15" spans="1:8" x14ac:dyDescent="0.25">
      <c r="A15" t="s">
        <v>177</v>
      </c>
      <c r="B15">
        <v>16</v>
      </c>
      <c r="C15">
        <v>20</v>
      </c>
      <c r="D15">
        <v>464</v>
      </c>
      <c r="E15">
        <v>11</v>
      </c>
      <c r="F15">
        <v>11</v>
      </c>
      <c r="G15">
        <v>12</v>
      </c>
      <c r="H15">
        <v>14</v>
      </c>
    </row>
    <row r="16" spans="1:8" x14ac:dyDescent="0.25">
      <c r="A16" t="s">
        <v>287</v>
      </c>
      <c r="B16">
        <v>16</v>
      </c>
      <c r="C16">
        <v>45</v>
      </c>
      <c r="D16">
        <v>186.1</v>
      </c>
      <c r="E16">
        <v>11</v>
      </c>
      <c r="F16">
        <v>11</v>
      </c>
      <c r="G16">
        <v>12</v>
      </c>
      <c r="H16">
        <v>14</v>
      </c>
    </row>
    <row r="17" spans="1:8" x14ac:dyDescent="0.25">
      <c r="A17" t="s">
        <v>226</v>
      </c>
      <c r="B17">
        <v>16</v>
      </c>
      <c r="C17">
        <v>35</v>
      </c>
      <c r="D17">
        <v>125.5</v>
      </c>
      <c r="E17">
        <v>11</v>
      </c>
      <c r="F17">
        <v>11</v>
      </c>
      <c r="G17">
        <v>13</v>
      </c>
      <c r="H17">
        <v>13</v>
      </c>
    </row>
    <row r="18" spans="1:8" x14ac:dyDescent="0.25">
      <c r="A18" t="s">
        <v>578</v>
      </c>
      <c r="B18">
        <v>17</v>
      </c>
      <c r="C18">
        <v>200</v>
      </c>
      <c r="D18">
        <v>144.5</v>
      </c>
      <c r="E18">
        <v>12</v>
      </c>
      <c r="F18">
        <v>14</v>
      </c>
      <c r="G18">
        <v>12</v>
      </c>
      <c r="H18">
        <v>13</v>
      </c>
    </row>
    <row r="19" spans="1:8" x14ac:dyDescent="0.25">
      <c r="A19" t="s">
        <v>404</v>
      </c>
      <c r="B19">
        <v>15</v>
      </c>
      <c r="C19">
        <v>80</v>
      </c>
      <c r="D19">
        <v>114.1</v>
      </c>
      <c r="E19">
        <v>10</v>
      </c>
      <c r="F19">
        <v>10</v>
      </c>
      <c r="G19">
        <v>12</v>
      </c>
      <c r="H19">
        <v>13</v>
      </c>
    </row>
    <row r="20" spans="1:8" x14ac:dyDescent="0.25">
      <c r="A20" t="s">
        <v>590</v>
      </c>
      <c r="B20">
        <v>16</v>
      </c>
      <c r="C20">
        <v>200</v>
      </c>
      <c r="D20">
        <v>281.5</v>
      </c>
      <c r="E20">
        <v>11</v>
      </c>
      <c r="F20">
        <v>13</v>
      </c>
      <c r="G20">
        <v>11</v>
      </c>
      <c r="H20">
        <v>13</v>
      </c>
    </row>
    <row r="21" spans="1:8" x14ac:dyDescent="0.25">
      <c r="A21" t="s">
        <v>376</v>
      </c>
      <c r="B21">
        <v>16</v>
      </c>
      <c r="C21">
        <v>80</v>
      </c>
      <c r="D21">
        <v>105.75</v>
      </c>
      <c r="E21">
        <v>11</v>
      </c>
      <c r="F21">
        <v>13</v>
      </c>
      <c r="G21">
        <v>11</v>
      </c>
      <c r="H21">
        <v>13</v>
      </c>
    </row>
    <row r="22" spans="1:8" x14ac:dyDescent="0.25">
      <c r="A22" t="s">
        <v>159</v>
      </c>
      <c r="B22">
        <v>16</v>
      </c>
      <c r="C22">
        <v>20</v>
      </c>
      <c r="D22">
        <v>71.5</v>
      </c>
      <c r="E22">
        <v>11</v>
      </c>
      <c r="F22">
        <v>13</v>
      </c>
      <c r="G22">
        <v>11</v>
      </c>
      <c r="H22">
        <v>13</v>
      </c>
    </row>
    <row r="23" spans="1:8" x14ac:dyDescent="0.25">
      <c r="A23" t="s">
        <v>98</v>
      </c>
      <c r="B23">
        <v>16</v>
      </c>
      <c r="C23">
        <v>5</v>
      </c>
      <c r="D23">
        <v>138.82</v>
      </c>
      <c r="E23">
        <v>11</v>
      </c>
      <c r="F23">
        <v>13</v>
      </c>
      <c r="G23">
        <v>11</v>
      </c>
      <c r="H23">
        <v>13</v>
      </c>
    </row>
    <row r="24" spans="1:8" x14ac:dyDescent="0.25">
      <c r="A24" t="s">
        <v>143</v>
      </c>
      <c r="B24">
        <v>16</v>
      </c>
      <c r="C24">
        <v>15</v>
      </c>
      <c r="D24">
        <v>149.03333333333333</v>
      </c>
      <c r="E24">
        <v>11</v>
      </c>
      <c r="F24">
        <v>13</v>
      </c>
      <c r="G24">
        <v>11</v>
      </c>
      <c r="H24">
        <v>13</v>
      </c>
    </row>
    <row r="25" spans="1:8" x14ac:dyDescent="0.25">
      <c r="A25" t="s">
        <v>295</v>
      </c>
      <c r="B25">
        <v>16</v>
      </c>
      <c r="C25">
        <v>50</v>
      </c>
      <c r="D25">
        <v>374.5</v>
      </c>
      <c r="E25">
        <v>11</v>
      </c>
      <c r="F25">
        <v>13</v>
      </c>
      <c r="G25">
        <v>11</v>
      </c>
      <c r="H25">
        <v>13</v>
      </c>
    </row>
    <row r="26" spans="1:8" x14ac:dyDescent="0.25">
      <c r="A26" t="s">
        <v>203</v>
      </c>
      <c r="B26">
        <v>16</v>
      </c>
      <c r="C26">
        <v>30</v>
      </c>
      <c r="D26">
        <v>61.1</v>
      </c>
      <c r="E26">
        <v>11</v>
      </c>
      <c r="F26">
        <v>13</v>
      </c>
      <c r="G26">
        <v>11</v>
      </c>
      <c r="H26">
        <v>13</v>
      </c>
    </row>
    <row r="27" spans="1:8" x14ac:dyDescent="0.25">
      <c r="A27" t="s">
        <v>248</v>
      </c>
      <c r="B27">
        <v>16</v>
      </c>
      <c r="C27">
        <v>40</v>
      </c>
      <c r="D27">
        <v>86.2</v>
      </c>
      <c r="E27">
        <v>13</v>
      </c>
      <c r="F27">
        <v>11</v>
      </c>
      <c r="G27">
        <v>11</v>
      </c>
      <c r="H27">
        <v>13</v>
      </c>
    </row>
    <row r="28" spans="1:8" x14ac:dyDescent="0.25">
      <c r="A28" t="s">
        <v>352</v>
      </c>
      <c r="B28">
        <v>16</v>
      </c>
      <c r="C28">
        <v>70</v>
      </c>
      <c r="D28">
        <v>63</v>
      </c>
      <c r="E28">
        <v>13</v>
      </c>
      <c r="F28">
        <v>11</v>
      </c>
      <c r="G28">
        <v>11</v>
      </c>
      <c r="H28">
        <v>13</v>
      </c>
    </row>
    <row r="29" spans="1:8" x14ac:dyDescent="0.25">
      <c r="A29" t="s">
        <v>110</v>
      </c>
      <c r="B29">
        <v>16</v>
      </c>
      <c r="C29">
        <v>10</v>
      </c>
      <c r="D29">
        <v>30.32</v>
      </c>
      <c r="E29">
        <v>13</v>
      </c>
      <c r="F29">
        <v>11</v>
      </c>
      <c r="G29">
        <v>11</v>
      </c>
      <c r="H29">
        <v>13</v>
      </c>
    </row>
    <row r="30" spans="1:8" x14ac:dyDescent="0.25">
      <c r="A30" t="s">
        <v>195</v>
      </c>
      <c r="B30">
        <v>16</v>
      </c>
      <c r="C30">
        <v>30</v>
      </c>
      <c r="D30">
        <v>82.079999999999984</v>
      </c>
      <c r="E30">
        <v>13</v>
      </c>
      <c r="F30">
        <v>11</v>
      </c>
      <c r="G30">
        <v>11</v>
      </c>
      <c r="H30">
        <v>13</v>
      </c>
    </row>
    <row r="31" spans="1:8" x14ac:dyDescent="0.25">
      <c r="A31" t="s">
        <v>181</v>
      </c>
      <c r="B31">
        <v>15</v>
      </c>
      <c r="C31">
        <v>20</v>
      </c>
      <c r="D31">
        <v>400</v>
      </c>
      <c r="E31">
        <v>10</v>
      </c>
      <c r="F31">
        <v>12</v>
      </c>
      <c r="G31">
        <v>10</v>
      </c>
      <c r="H31">
        <v>13</v>
      </c>
    </row>
    <row r="32" spans="1:8" x14ac:dyDescent="0.25">
      <c r="A32" t="s">
        <v>230</v>
      </c>
      <c r="B32">
        <v>15</v>
      </c>
      <c r="C32">
        <v>35</v>
      </c>
      <c r="D32">
        <v>155</v>
      </c>
      <c r="E32">
        <v>10</v>
      </c>
      <c r="F32">
        <v>12</v>
      </c>
      <c r="G32">
        <v>10</v>
      </c>
      <c r="H32">
        <v>13</v>
      </c>
    </row>
    <row r="33" spans="1:8" x14ac:dyDescent="0.25">
      <c r="A33" t="s">
        <v>491</v>
      </c>
      <c r="B33">
        <v>15</v>
      </c>
      <c r="C33">
        <v>150</v>
      </c>
      <c r="D33">
        <v>10</v>
      </c>
      <c r="E33">
        <v>10</v>
      </c>
      <c r="F33">
        <v>12</v>
      </c>
      <c r="G33">
        <v>10</v>
      </c>
      <c r="H33">
        <v>13</v>
      </c>
    </row>
    <row r="34" spans="1:8" x14ac:dyDescent="0.25">
      <c r="A34" t="s">
        <v>564</v>
      </c>
      <c r="B34">
        <v>14</v>
      </c>
      <c r="C34">
        <v>200</v>
      </c>
      <c r="D34">
        <v>144.1</v>
      </c>
      <c r="E34">
        <v>9</v>
      </c>
      <c r="F34">
        <v>11</v>
      </c>
      <c r="G34">
        <v>9</v>
      </c>
      <c r="H34">
        <v>13</v>
      </c>
    </row>
    <row r="35" spans="1:8" x14ac:dyDescent="0.25">
      <c r="A35" t="s">
        <v>328</v>
      </c>
      <c r="B35">
        <v>14</v>
      </c>
      <c r="C35">
        <v>60</v>
      </c>
      <c r="D35">
        <v>153.15</v>
      </c>
      <c r="E35">
        <v>9</v>
      </c>
      <c r="F35">
        <v>11</v>
      </c>
      <c r="G35">
        <v>9</v>
      </c>
      <c r="H35">
        <v>13</v>
      </c>
    </row>
    <row r="36" spans="1:8" x14ac:dyDescent="0.25">
      <c r="A36" t="s">
        <v>496</v>
      </c>
      <c r="B36">
        <v>14</v>
      </c>
      <c r="C36">
        <v>150</v>
      </c>
      <c r="D36">
        <v>21.3</v>
      </c>
      <c r="E36">
        <v>9</v>
      </c>
      <c r="F36">
        <v>11</v>
      </c>
      <c r="G36">
        <v>9</v>
      </c>
      <c r="H36">
        <v>13</v>
      </c>
    </row>
    <row r="37" spans="1:8" x14ac:dyDescent="0.25">
      <c r="A37" t="s">
        <v>155</v>
      </c>
      <c r="B37">
        <v>16</v>
      </c>
      <c r="C37">
        <v>20</v>
      </c>
      <c r="D37">
        <v>634.5</v>
      </c>
      <c r="E37">
        <v>11</v>
      </c>
      <c r="F37">
        <v>13</v>
      </c>
      <c r="G37">
        <v>12</v>
      </c>
      <c r="H37">
        <v>12</v>
      </c>
    </row>
    <row r="38" spans="1:8" x14ac:dyDescent="0.25">
      <c r="A38" t="s">
        <v>407</v>
      </c>
      <c r="B38">
        <v>16</v>
      </c>
      <c r="C38">
        <v>80</v>
      </c>
      <c r="D38">
        <v>82.800000000000011</v>
      </c>
      <c r="E38">
        <v>11</v>
      </c>
      <c r="F38">
        <v>13</v>
      </c>
      <c r="G38">
        <v>12</v>
      </c>
      <c r="H38">
        <v>12</v>
      </c>
    </row>
    <row r="39" spans="1:8" x14ac:dyDescent="0.25">
      <c r="A39" t="s">
        <v>408</v>
      </c>
      <c r="B39">
        <v>16</v>
      </c>
      <c r="C39">
        <v>80</v>
      </c>
      <c r="D39">
        <v>82.800000000000011</v>
      </c>
      <c r="E39">
        <v>11</v>
      </c>
      <c r="F39">
        <v>13</v>
      </c>
      <c r="G39">
        <v>12</v>
      </c>
      <c r="H39">
        <v>12</v>
      </c>
    </row>
    <row r="40" spans="1:8" x14ac:dyDescent="0.25">
      <c r="A40" t="s">
        <v>207</v>
      </c>
      <c r="B40">
        <v>15</v>
      </c>
      <c r="C40">
        <v>30</v>
      </c>
      <c r="D40">
        <v>61.1</v>
      </c>
      <c r="E40">
        <v>10</v>
      </c>
      <c r="F40">
        <v>12</v>
      </c>
      <c r="G40">
        <v>11</v>
      </c>
      <c r="H40">
        <v>12</v>
      </c>
    </row>
    <row r="41" spans="1:8" x14ac:dyDescent="0.25">
      <c r="A41" t="s">
        <v>276</v>
      </c>
      <c r="B41">
        <v>15</v>
      </c>
      <c r="C41">
        <v>40</v>
      </c>
      <c r="D41">
        <v>121.1</v>
      </c>
      <c r="E41">
        <v>10</v>
      </c>
      <c r="F41">
        <v>12</v>
      </c>
      <c r="G41">
        <v>11</v>
      </c>
      <c r="H41">
        <v>12</v>
      </c>
    </row>
    <row r="42" spans="1:8" x14ac:dyDescent="0.25">
      <c r="A42" t="s">
        <v>401</v>
      </c>
      <c r="B42">
        <v>15</v>
      </c>
      <c r="C42">
        <v>80</v>
      </c>
      <c r="D42">
        <v>46.32</v>
      </c>
      <c r="E42">
        <v>10</v>
      </c>
      <c r="F42">
        <v>12</v>
      </c>
      <c r="G42">
        <v>11</v>
      </c>
      <c r="H42">
        <v>12</v>
      </c>
    </row>
    <row r="43" spans="1:8" x14ac:dyDescent="0.25">
      <c r="A43" t="s">
        <v>121</v>
      </c>
      <c r="B43">
        <v>15</v>
      </c>
      <c r="C43">
        <v>10</v>
      </c>
      <c r="D43">
        <v>224.8</v>
      </c>
      <c r="E43">
        <v>10</v>
      </c>
      <c r="F43">
        <v>12</v>
      </c>
      <c r="G43">
        <v>11</v>
      </c>
      <c r="H43">
        <v>12</v>
      </c>
    </row>
    <row r="44" spans="1:8" x14ac:dyDescent="0.25">
      <c r="A44" t="s">
        <v>315</v>
      </c>
      <c r="B44">
        <v>15</v>
      </c>
      <c r="C44">
        <v>60</v>
      </c>
      <c r="D44">
        <v>99.5</v>
      </c>
      <c r="E44">
        <v>10</v>
      </c>
      <c r="F44">
        <v>12</v>
      </c>
      <c r="G44">
        <v>11</v>
      </c>
      <c r="H44">
        <v>12</v>
      </c>
    </row>
    <row r="45" spans="1:8" x14ac:dyDescent="0.25">
      <c r="A45" t="s">
        <v>390</v>
      </c>
      <c r="B45">
        <v>15</v>
      </c>
      <c r="C45">
        <v>80</v>
      </c>
      <c r="D45">
        <v>76.650000000000006</v>
      </c>
      <c r="E45">
        <v>10</v>
      </c>
      <c r="F45">
        <v>12</v>
      </c>
      <c r="G45">
        <v>11</v>
      </c>
      <c r="H45">
        <v>12</v>
      </c>
    </row>
    <row r="46" spans="1:8" x14ac:dyDescent="0.25">
      <c r="A46" t="s">
        <v>273</v>
      </c>
      <c r="B46">
        <v>16</v>
      </c>
      <c r="C46">
        <v>40</v>
      </c>
      <c r="D46">
        <v>75.72</v>
      </c>
      <c r="E46">
        <v>14</v>
      </c>
      <c r="F46">
        <v>11</v>
      </c>
      <c r="G46">
        <v>11</v>
      </c>
      <c r="H46">
        <v>12</v>
      </c>
    </row>
    <row r="47" spans="1:8" x14ac:dyDescent="0.25">
      <c r="A47" t="s">
        <v>150</v>
      </c>
      <c r="B47">
        <v>15</v>
      </c>
      <c r="C47">
        <v>20</v>
      </c>
      <c r="D47">
        <v>105</v>
      </c>
      <c r="E47">
        <v>12</v>
      </c>
      <c r="F47">
        <v>10</v>
      </c>
      <c r="G47">
        <v>11</v>
      </c>
      <c r="H47">
        <v>12</v>
      </c>
    </row>
    <row r="48" spans="1:8" x14ac:dyDescent="0.25">
      <c r="A48" t="s">
        <v>335</v>
      </c>
      <c r="B48">
        <v>15</v>
      </c>
      <c r="C48">
        <v>60</v>
      </c>
      <c r="D48">
        <v>232.20000000000002</v>
      </c>
      <c r="E48">
        <v>12</v>
      </c>
      <c r="F48">
        <v>10</v>
      </c>
      <c r="G48">
        <v>11</v>
      </c>
      <c r="H48">
        <v>12</v>
      </c>
    </row>
    <row r="49" spans="1:8" x14ac:dyDescent="0.25">
      <c r="A49" t="s">
        <v>462</v>
      </c>
      <c r="B49">
        <v>15</v>
      </c>
      <c r="C49">
        <v>100</v>
      </c>
      <c r="D49">
        <v>88.12</v>
      </c>
      <c r="E49">
        <v>12</v>
      </c>
      <c r="F49">
        <v>10</v>
      </c>
      <c r="G49">
        <v>11</v>
      </c>
      <c r="H49">
        <v>12</v>
      </c>
    </row>
    <row r="50" spans="1:8" x14ac:dyDescent="0.25">
      <c r="A50" t="s">
        <v>165</v>
      </c>
      <c r="B50">
        <v>15</v>
      </c>
      <c r="C50">
        <v>20</v>
      </c>
      <c r="D50">
        <v>110.05999999999999</v>
      </c>
      <c r="E50">
        <v>12</v>
      </c>
      <c r="F50">
        <v>10</v>
      </c>
      <c r="G50">
        <v>11</v>
      </c>
      <c r="H50">
        <v>12</v>
      </c>
    </row>
    <row r="51" spans="1:8" x14ac:dyDescent="0.25">
      <c r="A51" t="s">
        <v>262</v>
      </c>
      <c r="B51">
        <v>15</v>
      </c>
      <c r="C51">
        <v>40</v>
      </c>
      <c r="D51">
        <v>232.20000000000002</v>
      </c>
      <c r="E51">
        <v>12</v>
      </c>
      <c r="F51">
        <v>10</v>
      </c>
      <c r="G51">
        <v>11</v>
      </c>
      <c r="H51">
        <v>12</v>
      </c>
    </row>
    <row r="52" spans="1:8" x14ac:dyDescent="0.25">
      <c r="A52" t="s">
        <v>254</v>
      </c>
      <c r="B52">
        <v>14</v>
      </c>
      <c r="C52">
        <v>40</v>
      </c>
      <c r="D52">
        <v>227.5</v>
      </c>
      <c r="E52">
        <v>9</v>
      </c>
      <c r="F52">
        <v>11</v>
      </c>
      <c r="G52">
        <v>10</v>
      </c>
      <c r="H52">
        <v>12</v>
      </c>
    </row>
    <row r="53" spans="1:8" x14ac:dyDescent="0.25">
      <c r="A53" t="s">
        <v>409</v>
      </c>
      <c r="B53">
        <v>14</v>
      </c>
      <c r="C53">
        <v>80</v>
      </c>
      <c r="D53">
        <v>82.800000000000011</v>
      </c>
      <c r="E53">
        <v>9</v>
      </c>
      <c r="F53">
        <v>11</v>
      </c>
      <c r="G53">
        <v>10</v>
      </c>
      <c r="H53">
        <v>12</v>
      </c>
    </row>
    <row r="54" spans="1:8" x14ac:dyDescent="0.25">
      <c r="A54" t="s">
        <v>567</v>
      </c>
      <c r="B54">
        <v>14</v>
      </c>
      <c r="C54">
        <v>200</v>
      </c>
      <c r="D54">
        <v>70.599999999999994</v>
      </c>
      <c r="E54">
        <v>9</v>
      </c>
      <c r="F54">
        <v>11</v>
      </c>
      <c r="G54">
        <v>10</v>
      </c>
      <c r="H54">
        <v>12</v>
      </c>
    </row>
    <row r="55" spans="1:8" x14ac:dyDescent="0.25">
      <c r="A55" t="s">
        <v>303</v>
      </c>
      <c r="B55">
        <v>14</v>
      </c>
      <c r="C55">
        <v>50</v>
      </c>
      <c r="D55">
        <v>135.17500000000001</v>
      </c>
      <c r="E55">
        <v>9</v>
      </c>
      <c r="F55">
        <v>11</v>
      </c>
      <c r="G55">
        <v>10</v>
      </c>
      <c r="H55">
        <v>12</v>
      </c>
    </row>
    <row r="56" spans="1:8" x14ac:dyDescent="0.25">
      <c r="A56" t="s">
        <v>446</v>
      </c>
      <c r="B56">
        <v>14</v>
      </c>
      <c r="C56">
        <v>100</v>
      </c>
      <c r="D56">
        <v>85.1</v>
      </c>
      <c r="E56">
        <v>9</v>
      </c>
      <c r="F56">
        <v>11</v>
      </c>
      <c r="G56">
        <v>10</v>
      </c>
      <c r="H56">
        <v>12</v>
      </c>
    </row>
    <row r="57" spans="1:8" x14ac:dyDescent="0.25">
      <c r="A57" t="s">
        <v>502</v>
      </c>
      <c r="B57">
        <v>14</v>
      </c>
      <c r="C57">
        <v>150</v>
      </c>
      <c r="D57">
        <v>34.050000000000004</v>
      </c>
      <c r="E57">
        <v>9</v>
      </c>
      <c r="F57">
        <v>11</v>
      </c>
      <c r="G57">
        <v>10</v>
      </c>
      <c r="H57">
        <v>12</v>
      </c>
    </row>
    <row r="58" spans="1:8" x14ac:dyDescent="0.25">
      <c r="A58" t="s">
        <v>450</v>
      </c>
      <c r="B58">
        <v>14</v>
      </c>
      <c r="C58">
        <v>100</v>
      </c>
      <c r="D58">
        <v>101.1</v>
      </c>
      <c r="E58">
        <v>9</v>
      </c>
      <c r="F58">
        <v>11</v>
      </c>
      <c r="G58">
        <v>10</v>
      </c>
      <c r="H58">
        <v>12</v>
      </c>
    </row>
    <row r="59" spans="1:8" x14ac:dyDescent="0.25">
      <c r="A59" t="s">
        <v>342</v>
      </c>
      <c r="B59">
        <v>15</v>
      </c>
      <c r="C59">
        <v>70</v>
      </c>
      <c r="D59">
        <v>95.0625</v>
      </c>
      <c r="E59">
        <v>13</v>
      </c>
      <c r="F59">
        <v>10</v>
      </c>
      <c r="G59">
        <v>10</v>
      </c>
      <c r="H59">
        <v>12</v>
      </c>
    </row>
    <row r="60" spans="1:8" x14ac:dyDescent="0.25">
      <c r="A60" t="s">
        <v>310</v>
      </c>
      <c r="B60">
        <v>14</v>
      </c>
      <c r="C60">
        <v>50</v>
      </c>
      <c r="D60">
        <v>37.470000000000006</v>
      </c>
      <c r="E60">
        <v>11</v>
      </c>
      <c r="F60">
        <v>9</v>
      </c>
      <c r="G60">
        <v>10</v>
      </c>
      <c r="H60">
        <v>12</v>
      </c>
    </row>
    <row r="61" spans="1:8" x14ac:dyDescent="0.25">
      <c r="A61" t="s">
        <v>106</v>
      </c>
      <c r="B61">
        <v>14</v>
      </c>
      <c r="C61">
        <v>5</v>
      </c>
      <c r="D61">
        <v>116.72000000000001</v>
      </c>
      <c r="E61">
        <v>11</v>
      </c>
      <c r="F61">
        <v>9</v>
      </c>
      <c r="G61">
        <v>10</v>
      </c>
      <c r="H61">
        <v>12</v>
      </c>
    </row>
    <row r="62" spans="1:8" x14ac:dyDescent="0.25">
      <c r="A62" t="s">
        <v>518</v>
      </c>
      <c r="B62">
        <v>13</v>
      </c>
      <c r="C62">
        <v>150</v>
      </c>
      <c r="D62">
        <v>10</v>
      </c>
      <c r="E62">
        <v>8</v>
      </c>
      <c r="F62">
        <v>10</v>
      </c>
      <c r="G62">
        <v>9</v>
      </c>
      <c r="H62">
        <v>12</v>
      </c>
    </row>
    <row r="63" spans="1:8" x14ac:dyDescent="0.25">
      <c r="A63" t="s">
        <v>370</v>
      </c>
      <c r="B63">
        <v>13</v>
      </c>
      <c r="C63">
        <v>80</v>
      </c>
      <c r="D63">
        <v>149.75</v>
      </c>
      <c r="E63">
        <v>8</v>
      </c>
      <c r="F63">
        <v>10</v>
      </c>
      <c r="G63">
        <v>9</v>
      </c>
      <c r="H63">
        <v>12</v>
      </c>
    </row>
    <row r="64" spans="1:8" x14ac:dyDescent="0.25">
      <c r="A64" t="s">
        <v>304</v>
      </c>
      <c r="B64">
        <v>14</v>
      </c>
      <c r="C64">
        <v>50</v>
      </c>
      <c r="D64">
        <v>103.67500000000001</v>
      </c>
      <c r="E64">
        <v>9</v>
      </c>
      <c r="F64">
        <v>9</v>
      </c>
      <c r="G64">
        <v>13</v>
      </c>
      <c r="H64">
        <v>11</v>
      </c>
    </row>
    <row r="65" spans="1:8" x14ac:dyDescent="0.25">
      <c r="A65" t="s">
        <v>258</v>
      </c>
      <c r="B65">
        <v>14</v>
      </c>
      <c r="C65">
        <v>40</v>
      </c>
      <c r="D65">
        <v>373.5</v>
      </c>
      <c r="E65">
        <v>9</v>
      </c>
      <c r="F65">
        <v>9</v>
      </c>
      <c r="G65">
        <v>13</v>
      </c>
      <c r="H65">
        <v>11</v>
      </c>
    </row>
    <row r="66" spans="1:8" x14ac:dyDescent="0.25">
      <c r="A66" t="s">
        <v>569</v>
      </c>
      <c r="B66">
        <v>14</v>
      </c>
      <c r="C66">
        <v>200</v>
      </c>
      <c r="D66">
        <v>144.5</v>
      </c>
      <c r="E66">
        <v>9</v>
      </c>
      <c r="F66">
        <v>9</v>
      </c>
      <c r="G66">
        <v>13</v>
      </c>
      <c r="H66">
        <v>11</v>
      </c>
    </row>
    <row r="67" spans="1:8" x14ac:dyDescent="0.25">
      <c r="A67" t="s">
        <v>321</v>
      </c>
      <c r="B67">
        <v>15</v>
      </c>
      <c r="C67">
        <v>60</v>
      </c>
      <c r="D67">
        <v>40</v>
      </c>
      <c r="E67">
        <v>12</v>
      </c>
      <c r="F67">
        <v>10</v>
      </c>
      <c r="G67">
        <v>12</v>
      </c>
      <c r="H67">
        <v>11</v>
      </c>
    </row>
    <row r="68" spans="1:8" x14ac:dyDescent="0.25">
      <c r="A68" t="s">
        <v>130</v>
      </c>
      <c r="B68">
        <v>13</v>
      </c>
      <c r="C68">
        <v>15</v>
      </c>
      <c r="D68">
        <v>104.5</v>
      </c>
      <c r="E68">
        <v>8</v>
      </c>
      <c r="F68">
        <v>8</v>
      </c>
      <c r="G68">
        <v>12</v>
      </c>
      <c r="H68">
        <v>11</v>
      </c>
    </row>
    <row r="69" spans="1:8" x14ac:dyDescent="0.25">
      <c r="A69" t="s">
        <v>601</v>
      </c>
      <c r="B69">
        <v>13</v>
      </c>
      <c r="C69">
        <v>200</v>
      </c>
      <c r="D69">
        <v>132.5</v>
      </c>
      <c r="E69">
        <v>8</v>
      </c>
      <c r="F69">
        <v>8</v>
      </c>
      <c r="G69">
        <v>12</v>
      </c>
      <c r="H69">
        <v>11</v>
      </c>
    </row>
    <row r="70" spans="1:8" x14ac:dyDescent="0.25">
      <c r="A70" t="s">
        <v>582</v>
      </c>
      <c r="B70">
        <v>16</v>
      </c>
      <c r="C70">
        <v>200</v>
      </c>
      <c r="D70">
        <v>247</v>
      </c>
      <c r="E70">
        <v>13</v>
      </c>
      <c r="F70">
        <v>13</v>
      </c>
      <c r="G70">
        <v>11</v>
      </c>
      <c r="H70">
        <v>11</v>
      </c>
    </row>
    <row r="71" spans="1:8" x14ac:dyDescent="0.25">
      <c r="A71" t="s">
        <v>102</v>
      </c>
      <c r="B71">
        <v>14</v>
      </c>
      <c r="C71">
        <v>5</v>
      </c>
      <c r="D71">
        <v>213.1</v>
      </c>
      <c r="E71">
        <v>9</v>
      </c>
      <c r="F71">
        <v>11</v>
      </c>
      <c r="G71">
        <v>11</v>
      </c>
      <c r="H71">
        <v>11</v>
      </c>
    </row>
    <row r="72" spans="1:8" x14ac:dyDescent="0.25">
      <c r="A72" t="s">
        <v>380</v>
      </c>
      <c r="B72">
        <v>14</v>
      </c>
      <c r="C72">
        <v>80</v>
      </c>
      <c r="D72">
        <v>49</v>
      </c>
      <c r="E72">
        <v>9</v>
      </c>
      <c r="F72">
        <v>11</v>
      </c>
      <c r="G72">
        <v>11</v>
      </c>
      <c r="H72">
        <v>11</v>
      </c>
    </row>
    <row r="73" spans="1:8" x14ac:dyDescent="0.25">
      <c r="A73" t="s">
        <v>599</v>
      </c>
      <c r="B73">
        <v>12</v>
      </c>
      <c r="C73">
        <v>200</v>
      </c>
      <c r="D73">
        <v>301</v>
      </c>
      <c r="E73">
        <v>7</v>
      </c>
      <c r="F73">
        <v>7</v>
      </c>
      <c r="G73">
        <v>11</v>
      </c>
      <c r="H73">
        <v>11</v>
      </c>
    </row>
    <row r="74" spans="1:8" x14ac:dyDescent="0.25">
      <c r="A74" t="s">
        <v>594</v>
      </c>
      <c r="B74">
        <v>12</v>
      </c>
      <c r="C74">
        <v>200</v>
      </c>
      <c r="D74">
        <v>260.5</v>
      </c>
      <c r="E74">
        <v>7</v>
      </c>
      <c r="F74">
        <v>7</v>
      </c>
      <c r="G74">
        <v>11</v>
      </c>
      <c r="H74">
        <v>11</v>
      </c>
    </row>
    <row r="75" spans="1:8" x14ac:dyDescent="0.25">
      <c r="A75" t="s">
        <v>267</v>
      </c>
      <c r="B75">
        <v>15</v>
      </c>
      <c r="C75">
        <v>40</v>
      </c>
      <c r="D75">
        <v>224.09999999999997</v>
      </c>
      <c r="E75">
        <v>10</v>
      </c>
      <c r="F75">
        <v>14</v>
      </c>
      <c r="G75">
        <v>10</v>
      </c>
      <c r="H75">
        <v>11</v>
      </c>
    </row>
    <row r="76" spans="1:8" x14ac:dyDescent="0.25">
      <c r="A76" t="s">
        <v>399</v>
      </c>
      <c r="B76">
        <v>15</v>
      </c>
      <c r="C76">
        <v>80</v>
      </c>
      <c r="D76">
        <v>223.5</v>
      </c>
      <c r="E76">
        <v>10</v>
      </c>
      <c r="F76">
        <v>14</v>
      </c>
      <c r="G76">
        <v>10</v>
      </c>
      <c r="H76">
        <v>11</v>
      </c>
    </row>
    <row r="77" spans="1:8" x14ac:dyDescent="0.25">
      <c r="A77" t="s">
        <v>574</v>
      </c>
      <c r="B77">
        <v>15</v>
      </c>
      <c r="C77">
        <v>200</v>
      </c>
      <c r="D77">
        <v>196</v>
      </c>
      <c r="E77">
        <v>12</v>
      </c>
      <c r="F77">
        <v>12</v>
      </c>
      <c r="G77">
        <v>10</v>
      </c>
      <c r="H77">
        <v>11</v>
      </c>
    </row>
    <row r="78" spans="1:8" x14ac:dyDescent="0.25">
      <c r="A78" t="s">
        <v>317</v>
      </c>
      <c r="B78">
        <v>14</v>
      </c>
      <c r="C78">
        <v>60</v>
      </c>
      <c r="D78">
        <v>45.2</v>
      </c>
      <c r="E78">
        <v>12</v>
      </c>
      <c r="F78">
        <v>9</v>
      </c>
      <c r="G78">
        <v>10</v>
      </c>
      <c r="H78">
        <v>11</v>
      </c>
    </row>
    <row r="79" spans="1:8" x14ac:dyDescent="0.25">
      <c r="A79" t="s">
        <v>456</v>
      </c>
      <c r="B79">
        <v>14</v>
      </c>
      <c r="C79">
        <v>100</v>
      </c>
      <c r="D79">
        <v>36.060000000000009</v>
      </c>
      <c r="E79">
        <v>12</v>
      </c>
      <c r="F79">
        <v>9</v>
      </c>
      <c r="G79">
        <v>10</v>
      </c>
      <c r="H79">
        <v>11</v>
      </c>
    </row>
    <row r="80" spans="1:8" x14ac:dyDescent="0.25">
      <c r="A80" t="s">
        <v>398</v>
      </c>
      <c r="B80">
        <v>14</v>
      </c>
      <c r="C80">
        <v>80</v>
      </c>
      <c r="D80">
        <v>74.05</v>
      </c>
      <c r="E80">
        <v>9</v>
      </c>
      <c r="F80">
        <v>13</v>
      </c>
      <c r="G80">
        <v>9</v>
      </c>
      <c r="H80">
        <v>11</v>
      </c>
    </row>
    <row r="81" spans="1:8" x14ac:dyDescent="0.25">
      <c r="A81" t="s">
        <v>209</v>
      </c>
      <c r="B81">
        <v>14</v>
      </c>
      <c r="C81">
        <v>30</v>
      </c>
      <c r="D81">
        <v>61.1</v>
      </c>
      <c r="E81">
        <v>9</v>
      </c>
      <c r="F81">
        <v>13</v>
      </c>
      <c r="G81">
        <v>9</v>
      </c>
      <c r="H81">
        <v>11</v>
      </c>
    </row>
    <row r="82" spans="1:8" x14ac:dyDescent="0.25">
      <c r="A82" t="s">
        <v>482</v>
      </c>
      <c r="B82">
        <v>14</v>
      </c>
      <c r="C82">
        <v>150</v>
      </c>
      <c r="D82">
        <v>10</v>
      </c>
      <c r="E82">
        <v>9</v>
      </c>
      <c r="F82">
        <v>13</v>
      </c>
      <c r="G82">
        <v>9</v>
      </c>
      <c r="H82">
        <v>11</v>
      </c>
    </row>
    <row r="83" spans="1:8" x14ac:dyDescent="0.25">
      <c r="A83" t="s">
        <v>244</v>
      </c>
      <c r="B83">
        <v>14</v>
      </c>
      <c r="C83">
        <v>35</v>
      </c>
      <c r="D83">
        <v>244.2</v>
      </c>
      <c r="E83">
        <v>11</v>
      </c>
      <c r="F83">
        <v>11</v>
      </c>
      <c r="G83">
        <v>9</v>
      </c>
      <c r="H83">
        <v>11</v>
      </c>
    </row>
    <row r="84" spans="1:8" x14ac:dyDescent="0.25">
      <c r="A84" t="s">
        <v>361</v>
      </c>
      <c r="B84">
        <v>14</v>
      </c>
      <c r="C84">
        <v>70</v>
      </c>
      <c r="D84">
        <v>14.399999999999999</v>
      </c>
      <c r="E84">
        <v>11</v>
      </c>
      <c r="F84">
        <v>11</v>
      </c>
      <c r="G84">
        <v>9</v>
      </c>
      <c r="H84">
        <v>11</v>
      </c>
    </row>
    <row r="85" spans="1:8" x14ac:dyDescent="0.25">
      <c r="A85" t="s">
        <v>339</v>
      </c>
      <c r="B85">
        <v>14</v>
      </c>
      <c r="C85">
        <v>70</v>
      </c>
      <c r="D85">
        <v>52.5</v>
      </c>
      <c r="E85">
        <v>11</v>
      </c>
      <c r="F85">
        <v>11</v>
      </c>
      <c r="G85">
        <v>9</v>
      </c>
      <c r="H85">
        <v>11</v>
      </c>
    </row>
    <row r="86" spans="1:8" x14ac:dyDescent="0.25">
      <c r="A86" t="s">
        <v>332</v>
      </c>
      <c r="B86">
        <v>12</v>
      </c>
      <c r="C86">
        <v>60</v>
      </c>
      <c r="D86">
        <v>156.15</v>
      </c>
      <c r="E86">
        <v>7</v>
      </c>
      <c r="F86">
        <v>9</v>
      </c>
      <c r="G86">
        <v>9</v>
      </c>
      <c r="H86">
        <v>11</v>
      </c>
    </row>
    <row r="87" spans="1:8" x14ac:dyDescent="0.25">
      <c r="A87" t="s">
        <v>423</v>
      </c>
      <c r="B87">
        <v>13</v>
      </c>
      <c r="C87">
        <v>100</v>
      </c>
      <c r="D87">
        <v>38.6</v>
      </c>
      <c r="E87">
        <v>8</v>
      </c>
      <c r="F87">
        <v>12</v>
      </c>
      <c r="G87">
        <v>8</v>
      </c>
      <c r="H87">
        <v>11</v>
      </c>
    </row>
    <row r="88" spans="1:8" x14ac:dyDescent="0.25">
      <c r="A88" t="s">
        <v>384</v>
      </c>
      <c r="B88">
        <v>13</v>
      </c>
      <c r="C88">
        <v>80</v>
      </c>
      <c r="D88">
        <v>10</v>
      </c>
      <c r="E88">
        <v>8</v>
      </c>
      <c r="F88">
        <v>12</v>
      </c>
      <c r="G88">
        <v>8</v>
      </c>
      <c r="H88">
        <v>11</v>
      </c>
    </row>
    <row r="89" spans="1:8" x14ac:dyDescent="0.25">
      <c r="A89" t="s">
        <v>396</v>
      </c>
      <c r="B89">
        <v>13</v>
      </c>
      <c r="C89">
        <v>80</v>
      </c>
      <c r="D89">
        <v>74.05</v>
      </c>
      <c r="E89">
        <v>8</v>
      </c>
      <c r="F89">
        <v>12</v>
      </c>
      <c r="G89">
        <v>8</v>
      </c>
      <c r="H89">
        <v>11</v>
      </c>
    </row>
    <row r="90" spans="1:8" x14ac:dyDescent="0.25">
      <c r="A90" t="s">
        <v>356</v>
      </c>
      <c r="B90">
        <v>13</v>
      </c>
      <c r="C90">
        <v>70</v>
      </c>
      <c r="D90">
        <v>99.72</v>
      </c>
      <c r="E90">
        <v>10</v>
      </c>
      <c r="F90">
        <v>10</v>
      </c>
      <c r="G90">
        <v>8</v>
      </c>
      <c r="H90">
        <v>11</v>
      </c>
    </row>
    <row r="91" spans="1:8" x14ac:dyDescent="0.25">
      <c r="A91" t="s">
        <v>413</v>
      </c>
      <c r="B91">
        <v>13</v>
      </c>
      <c r="C91">
        <v>100</v>
      </c>
      <c r="D91">
        <v>46</v>
      </c>
      <c r="E91">
        <v>10</v>
      </c>
      <c r="F91">
        <v>10</v>
      </c>
      <c r="G91">
        <v>8</v>
      </c>
      <c r="H91">
        <v>11</v>
      </c>
    </row>
    <row r="92" spans="1:8" x14ac:dyDescent="0.25">
      <c r="A92" t="s">
        <v>213</v>
      </c>
      <c r="B92">
        <v>13</v>
      </c>
      <c r="C92">
        <v>30</v>
      </c>
      <c r="D92">
        <v>58.8</v>
      </c>
      <c r="E92">
        <v>10</v>
      </c>
      <c r="F92">
        <v>10</v>
      </c>
      <c r="G92">
        <v>8</v>
      </c>
      <c r="H92">
        <v>11</v>
      </c>
    </row>
    <row r="93" spans="1:8" x14ac:dyDescent="0.25">
      <c r="A93" t="s">
        <v>506</v>
      </c>
      <c r="B93">
        <v>12</v>
      </c>
      <c r="C93">
        <v>150</v>
      </c>
      <c r="D93">
        <v>10</v>
      </c>
      <c r="E93">
        <v>7</v>
      </c>
      <c r="F93">
        <v>11</v>
      </c>
      <c r="G93">
        <v>7</v>
      </c>
      <c r="H93">
        <v>11</v>
      </c>
    </row>
    <row r="94" spans="1:8" x14ac:dyDescent="0.25">
      <c r="A94" t="s">
        <v>433</v>
      </c>
      <c r="B94">
        <v>12</v>
      </c>
      <c r="C94">
        <v>100</v>
      </c>
      <c r="D94">
        <v>33.6</v>
      </c>
      <c r="E94">
        <v>7</v>
      </c>
      <c r="F94">
        <v>11</v>
      </c>
      <c r="G94">
        <v>7</v>
      </c>
      <c r="H94">
        <v>11</v>
      </c>
    </row>
    <row r="95" spans="1:8" x14ac:dyDescent="0.25">
      <c r="A95" t="s">
        <v>306</v>
      </c>
      <c r="B95">
        <v>13</v>
      </c>
      <c r="C95">
        <v>50</v>
      </c>
      <c r="D95">
        <v>118.17500000000001</v>
      </c>
      <c r="E95">
        <v>8</v>
      </c>
      <c r="F95">
        <v>8</v>
      </c>
      <c r="G95">
        <v>13</v>
      </c>
      <c r="H95">
        <v>10</v>
      </c>
    </row>
    <row r="96" spans="1:8" x14ac:dyDescent="0.25">
      <c r="A96" t="s">
        <v>337</v>
      </c>
      <c r="B96">
        <v>13</v>
      </c>
      <c r="C96">
        <v>60</v>
      </c>
      <c r="D96">
        <v>226.1</v>
      </c>
      <c r="E96">
        <v>8</v>
      </c>
      <c r="F96">
        <v>8</v>
      </c>
      <c r="G96">
        <v>13</v>
      </c>
      <c r="H96">
        <v>10</v>
      </c>
    </row>
    <row r="97" spans="1:8" x14ac:dyDescent="0.25">
      <c r="A97" t="s">
        <v>308</v>
      </c>
      <c r="B97">
        <v>13</v>
      </c>
      <c r="C97">
        <v>50</v>
      </c>
      <c r="D97">
        <v>95.175000000000011</v>
      </c>
      <c r="E97">
        <v>8</v>
      </c>
      <c r="F97">
        <v>8</v>
      </c>
      <c r="G97">
        <v>13</v>
      </c>
      <c r="H97">
        <v>10</v>
      </c>
    </row>
    <row r="98" spans="1:8" x14ac:dyDescent="0.25">
      <c r="A98" t="s">
        <v>416</v>
      </c>
      <c r="B98">
        <v>12</v>
      </c>
      <c r="C98">
        <v>100</v>
      </c>
      <c r="D98">
        <v>92</v>
      </c>
      <c r="E98">
        <v>7</v>
      </c>
      <c r="F98">
        <v>7</v>
      </c>
      <c r="G98">
        <v>12</v>
      </c>
      <c r="H98">
        <v>10</v>
      </c>
    </row>
    <row r="99" spans="1:8" x14ac:dyDescent="0.25">
      <c r="A99" t="s">
        <v>350</v>
      </c>
      <c r="B99">
        <v>12</v>
      </c>
      <c r="C99">
        <v>70</v>
      </c>
      <c r="D99">
        <v>240.5</v>
      </c>
      <c r="E99">
        <v>7</v>
      </c>
      <c r="F99">
        <v>7</v>
      </c>
      <c r="G99">
        <v>12</v>
      </c>
      <c r="H99">
        <v>10</v>
      </c>
    </row>
    <row r="100" spans="1:8" x14ac:dyDescent="0.25">
      <c r="A100" t="s">
        <v>236</v>
      </c>
      <c r="B100">
        <v>14</v>
      </c>
      <c r="C100">
        <v>35</v>
      </c>
      <c r="D100">
        <v>242.12</v>
      </c>
      <c r="E100">
        <v>11</v>
      </c>
      <c r="F100">
        <v>11</v>
      </c>
      <c r="G100">
        <v>10</v>
      </c>
      <c r="H100">
        <v>10</v>
      </c>
    </row>
    <row r="101" spans="1:8" x14ac:dyDescent="0.25">
      <c r="A101" t="s">
        <v>464</v>
      </c>
      <c r="B101">
        <v>13</v>
      </c>
      <c r="C101">
        <v>100</v>
      </c>
      <c r="D101">
        <v>122.80000000000003</v>
      </c>
      <c r="E101">
        <v>8</v>
      </c>
      <c r="F101">
        <v>12</v>
      </c>
      <c r="G101">
        <v>9</v>
      </c>
      <c r="H101">
        <v>10</v>
      </c>
    </row>
    <row r="102" spans="1:8" x14ac:dyDescent="0.25">
      <c r="A102" t="s">
        <v>436</v>
      </c>
      <c r="B102">
        <v>13</v>
      </c>
      <c r="C102">
        <v>100</v>
      </c>
      <c r="D102">
        <v>46.32</v>
      </c>
      <c r="E102">
        <v>8</v>
      </c>
      <c r="F102">
        <v>12</v>
      </c>
      <c r="G102">
        <v>9</v>
      </c>
      <c r="H102">
        <v>10</v>
      </c>
    </row>
    <row r="103" spans="1:8" x14ac:dyDescent="0.25">
      <c r="A103" t="s">
        <v>301</v>
      </c>
      <c r="B103">
        <v>13</v>
      </c>
      <c r="C103">
        <v>50</v>
      </c>
      <c r="D103">
        <v>121.67500000000001</v>
      </c>
      <c r="E103">
        <v>8</v>
      </c>
      <c r="F103">
        <v>12</v>
      </c>
      <c r="G103">
        <v>9</v>
      </c>
      <c r="H103">
        <v>10</v>
      </c>
    </row>
    <row r="104" spans="1:8" x14ac:dyDescent="0.25">
      <c r="A104" t="s">
        <v>218</v>
      </c>
      <c r="B104">
        <v>13</v>
      </c>
      <c r="C104">
        <v>30</v>
      </c>
      <c r="D104">
        <v>33</v>
      </c>
      <c r="E104">
        <v>8</v>
      </c>
      <c r="F104">
        <v>12</v>
      </c>
      <c r="G104">
        <v>9</v>
      </c>
      <c r="H104">
        <v>10</v>
      </c>
    </row>
    <row r="105" spans="1:8" x14ac:dyDescent="0.25">
      <c r="A105" t="s">
        <v>298</v>
      </c>
      <c r="B105">
        <v>13</v>
      </c>
      <c r="C105">
        <v>50</v>
      </c>
      <c r="D105">
        <v>128.4</v>
      </c>
      <c r="E105">
        <v>10</v>
      </c>
      <c r="F105">
        <v>10</v>
      </c>
      <c r="G105">
        <v>9</v>
      </c>
      <c r="H105">
        <v>10</v>
      </c>
    </row>
    <row r="106" spans="1:8" x14ac:dyDescent="0.25">
      <c r="A106" t="s">
        <v>325</v>
      </c>
      <c r="B106">
        <v>13</v>
      </c>
      <c r="C106">
        <v>60</v>
      </c>
      <c r="D106">
        <v>128.80000000000001</v>
      </c>
      <c r="E106">
        <v>10</v>
      </c>
      <c r="F106">
        <v>10</v>
      </c>
      <c r="G106">
        <v>9</v>
      </c>
      <c r="H106">
        <v>10</v>
      </c>
    </row>
    <row r="107" spans="1:8" x14ac:dyDescent="0.25">
      <c r="A107" t="s">
        <v>387</v>
      </c>
      <c r="B107">
        <v>13</v>
      </c>
      <c r="C107">
        <v>80</v>
      </c>
      <c r="D107">
        <v>35.25</v>
      </c>
      <c r="E107">
        <v>10</v>
      </c>
      <c r="F107">
        <v>10</v>
      </c>
      <c r="G107">
        <v>9</v>
      </c>
      <c r="H107">
        <v>10</v>
      </c>
    </row>
    <row r="108" spans="1:8" x14ac:dyDescent="0.25">
      <c r="A108" t="s">
        <v>198</v>
      </c>
      <c r="B108">
        <v>13</v>
      </c>
      <c r="C108">
        <v>30</v>
      </c>
      <c r="D108">
        <v>113.47999999999999</v>
      </c>
      <c r="E108">
        <v>10</v>
      </c>
      <c r="F108">
        <v>10</v>
      </c>
      <c r="G108">
        <v>9</v>
      </c>
      <c r="H108">
        <v>10</v>
      </c>
    </row>
    <row r="109" spans="1:8" x14ac:dyDescent="0.25">
      <c r="A109" t="s">
        <v>94</v>
      </c>
      <c r="B109">
        <v>13</v>
      </c>
      <c r="C109">
        <v>5</v>
      </c>
      <c r="D109">
        <v>117.41000000000001</v>
      </c>
      <c r="E109">
        <v>10</v>
      </c>
      <c r="F109">
        <v>10</v>
      </c>
      <c r="G109">
        <v>9</v>
      </c>
      <c r="H109">
        <v>10</v>
      </c>
    </row>
    <row r="110" spans="1:8" x14ac:dyDescent="0.25">
      <c r="A110" t="s">
        <v>240</v>
      </c>
      <c r="B110">
        <v>13</v>
      </c>
      <c r="C110">
        <v>35</v>
      </c>
      <c r="D110">
        <v>222.60000000000002</v>
      </c>
      <c r="E110">
        <v>10</v>
      </c>
      <c r="F110">
        <v>10</v>
      </c>
      <c r="G110">
        <v>9</v>
      </c>
      <c r="H110">
        <v>10</v>
      </c>
    </row>
    <row r="111" spans="1:8" x14ac:dyDescent="0.25">
      <c r="A111" t="s">
        <v>171</v>
      </c>
      <c r="B111">
        <v>13</v>
      </c>
      <c r="C111">
        <v>20</v>
      </c>
      <c r="D111">
        <v>72.250000000000014</v>
      </c>
      <c r="E111">
        <v>12</v>
      </c>
      <c r="F111">
        <v>8</v>
      </c>
      <c r="G111">
        <v>9</v>
      </c>
      <c r="H111">
        <v>10</v>
      </c>
    </row>
    <row r="112" spans="1:8" x14ac:dyDescent="0.25">
      <c r="A112" t="s">
        <v>442</v>
      </c>
      <c r="B112">
        <v>12</v>
      </c>
      <c r="C112">
        <v>100</v>
      </c>
      <c r="D112">
        <v>85.1</v>
      </c>
      <c r="E112">
        <v>7</v>
      </c>
      <c r="F112">
        <v>11</v>
      </c>
      <c r="G112">
        <v>8</v>
      </c>
      <c r="H112">
        <v>10</v>
      </c>
    </row>
    <row r="113" spans="1:8" x14ac:dyDescent="0.25">
      <c r="A113" t="s">
        <v>585</v>
      </c>
      <c r="B113">
        <v>13</v>
      </c>
      <c r="C113">
        <v>200</v>
      </c>
      <c r="D113">
        <v>75.7</v>
      </c>
      <c r="E113">
        <v>11</v>
      </c>
      <c r="F113">
        <v>10</v>
      </c>
      <c r="G113">
        <v>8</v>
      </c>
      <c r="H113">
        <v>10</v>
      </c>
    </row>
    <row r="114" spans="1:8" x14ac:dyDescent="0.25">
      <c r="A114" t="s">
        <v>191</v>
      </c>
      <c r="B114">
        <v>12</v>
      </c>
      <c r="C114">
        <v>25</v>
      </c>
      <c r="D114">
        <v>77.47999999999999</v>
      </c>
      <c r="E114">
        <v>9</v>
      </c>
      <c r="F114">
        <v>9</v>
      </c>
      <c r="G114">
        <v>8</v>
      </c>
      <c r="H114">
        <v>10</v>
      </c>
    </row>
    <row r="115" spans="1:8" x14ac:dyDescent="0.25">
      <c r="A115" t="s">
        <v>419</v>
      </c>
      <c r="B115">
        <v>12</v>
      </c>
      <c r="C115">
        <v>100</v>
      </c>
      <c r="D115">
        <v>58.3</v>
      </c>
      <c r="E115">
        <v>10</v>
      </c>
      <c r="F115">
        <v>9</v>
      </c>
      <c r="G115">
        <v>7</v>
      </c>
      <c r="H115">
        <v>10</v>
      </c>
    </row>
    <row r="116" spans="1:8" x14ac:dyDescent="0.25">
      <c r="A116" t="s">
        <v>498</v>
      </c>
      <c r="B116">
        <v>12</v>
      </c>
      <c r="C116">
        <v>150</v>
      </c>
      <c r="D116">
        <v>4.26</v>
      </c>
      <c r="E116">
        <v>10</v>
      </c>
      <c r="F116">
        <v>9</v>
      </c>
      <c r="G116">
        <v>7</v>
      </c>
      <c r="H116">
        <v>10</v>
      </c>
    </row>
    <row r="117" spans="1:8" x14ac:dyDescent="0.25">
      <c r="A117" t="s">
        <v>291</v>
      </c>
      <c r="B117">
        <v>12</v>
      </c>
      <c r="C117">
        <v>50</v>
      </c>
      <c r="D117">
        <v>229</v>
      </c>
      <c r="E117">
        <v>7</v>
      </c>
      <c r="F117">
        <v>9</v>
      </c>
      <c r="G117">
        <v>11</v>
      </c>
      <c r="H117">
        <v>9</v>
      </c>
    </row>
    <row r="118" spans="1:8" x14ac:dyDescent="0.25">
      <c r="A118" t="s">
        <v>538</v>
      </c>
      <c r="B118">
        <v>12</v>
      </c>
      <c r="C118">
        <v>150</v>
      </c>
      <c r="D118">
        <v>46.32</v>
      </c>
      <c r="E118">
        <v>7</v>
      </c>
      <c r="F118">
        <v>9</v>
      </c>
      <c r="G118">
        <v>11</v>
      </c>
      <c r="H118">
        <v>9</v>
      </c>
    </row>
    <row r="119" spans="1:8" x14ac:dyDescent="0.25">
      <c r="A119" t="s">
        <v>470</v>
      </c>
      <c r="B119">
        <v>12</v>
      </c>
      <c r="C119">
        <v>100</v>
      </c>
      <c r="D119">
        <v>72.47</v>
      </c>
      <c r="E119">
        <v>9</v>
      </c>
      <c r="F119">
        <v>7</v>
      </c>
      <c r="G119">
        <v>11</v>
      </c>
      <c r="H119">
        <v>9</v>
      </c>
    </row>
    <row r="120" spans="1:8" x14ac:dyDescent="0.25">
      <c r="A120" t="s">
        <v>89</v>
      </c>
      <c r="B120">
        <v>12</v>
      </c>
      <c r="C120">
        <v>5</v>
      </c>
      <c r="D120">
        <v>94.96</v>
      </c>
      <c r="E120">
        <v>9</v>
      </c>
      <c r="F120">
        <v>7</v>
      </c>
      <c r="G120">
        <v>11</v>
      </c>
      <c r="H120">
        <v>9</v>
      </c>
    </row>
    <row r="121" spans="1:8" x14ac:dyDescent="0.25">
      <c r="A121" t="s">
        <v>133</v>
      </c>
      <c r="B121">
        <v>12</v>
      </c>
      <c r="C121">
        <v>15</v>
      </c>
      <c r="D121">
        <v>89.8</v>
      </c>
      <c r="E121">
        <v>9</v>
      </c>
      <c r="F121">
        <v>7</v>
      </c>
      <c r="G121">
        <v>11</v>
      </c>
      <c r="H121">
        <v>9</v>
      </c>
    </row>
    <row r="122" spans="1:8" x14ac:dyDescent="0.25">
      <c r="A122" t="s">
        <v>603</v>
      </c>
      <c r="B122">
        <v>11</v>
      </c>
      <c r="C122">
        <v>200</v>
      </c>
      <c r="D122">
        <v>103.1</v>
      </c>
      <c r="E122">
        <v>6</v>
      </c>
      <c r="F122">
        <v>8</v>
      </c>
      <c r="G122">
        <v>10</v>
      </c>
      <c r="H122">
        <v>9</v>
      </c>
    </row>
    <row r="123" spans="1:8" x14ac:dyDescent="0.25">
      <c r="A123" t="s">
        <v>468</v>
      </c>
      <c r="B123">
        <v>11</v>
      </c>
      <c r="C123">
        <v>100</v>
      </c>
      <c r="D123">
        <v>69.675000000000011</v>
      </c>
      <c r="E123">
        <v>6</v>
      </c>
      <c r="F123">
        <v>8</v>
      </c>
      <c r="G123">
        <v>10</v>
      </c>
      <c r="H123">
        <v>9</v>
      </c>
    </row>
    <row r="124" spans="1:8" x14ac:dyDescent="0.25">
      <c r="A124" t="s">
        <v>438</v>
      </c>
      <c r="B124">
        <v>11</v>
      </c>
      <c r="C124">
        <v>100</v>
      </c>
      <c r="D124">
        <v>60.819999999999993</v>
      </c>
      <c r="E124">
        <v>6</v>
      </c>
      <c r="F124">
        <v>8</v>
      </c>
      <c r="G124">
        <v>10</v>
      </c>
      <c r="H124">
        <v>9</v>
      </c>
    </row>
    <row r="125" spans="1:8" x14ac:dyDescent="0.25">
      <c r="A125" t="s">
        <v>606</v>
      </c>
      <c r="B125">
        <v>11</v>
      </c>
      <c r="C125">
        <v>200</v>
      </c>
      <c r="D125">
        <v>169.8</v>
      </c>
      <c r="E125">
        <v>8</v>
      </c>
      <c r="F125">
        <v>6</v>
      </c>
      <c r="G125">
        <v>10</v>
      </c>
      <c r="H125">
        <v>9</v>
      </c>
    </row>
    <row r="126" spans="1:8" x14ac:dyDescent="0.25">
      <c r="A126" t="s">
        <v>561</v>
      </c>
      <c r="B126">
        <v>14</v>
      </c>
      <c r="C126">
        <v>200</v>
      </c>
      <c r="D126">
        <v>47.35</v>
      </c>
      <c r="E126">
        <v>13</v>
      </c>
      <c r="F126">
        <v>11</v>
      </c>
      <c r="G126">
        <v>9</v>
      </c>
      <c r="H126">
        <v>9</v>
      </c>
    </row>
    <row r="127" spans="1:8" x14ac:dyDescent="0.25">
      <c r="A127" t="s">
        <v>411</v>
      </c>
      <c r="B127">
        <v>13</v>
      </c>
      <c r="C127">
        <v>100</v>
      </c>
      <c r="D127">
        <v>27.6</v>
      </c>
      <c r="E127">
        <v>11</v>
      </c>
      <c r="F127">
        <v>10</v>
      </c>
      <c r="G127">
        <v>9</v>
      </c>
      <c r="H127">
        <v>9</v>
      </c>
    </row>
    <row r="128" spans="1:8" x14ac:dyDescent="0.25">
      <c r="A128" t="s">
        <v>373</v>
      </c>
      <c r="B128">
        <v>12</v>
      </c>
      <c r="C128">
        <v>80</v>
      </c>
      <c r="D128">
        <v>81.5</v>
      </c>
      <c r="E128">
        <v>9</v>
      </c>
      <c r="F128">
        <v>9</v>
      </c>
      <c r="G128">
        <v>9</v>
      </c>
      <c r="H128">
        <v>9</v>
      </c>
    </row>
    <row r="129" spans="1:8" x14ac:dyDescent="0.25">
      <c r="A129" t="s">
        <v>359</v>
      </c>
      <c r="B129">
        <v>13</v>
      </c>
      <c r="C129">
        <v>70</v>
      </c>
      <c r="D129">
        <v>91.12</v>
      </c>
      <c r="E129">
        <v>10</v>
      </c>
      <c r="F129">
        <v>12</v>
      </c>
      <c r="G129">
        <v>8</v>
      </c>
      <c r="H129">
        <v>9</v>
      </c>
    </row>
    <row r="130" spans="1:8" x14ac:dyDescent="0.25">
      <c r="A130" t="s">
        <v>283</v>
      </c>
      <c r="B130">
        <v>11</v>
      </c>
      <c r="C130">
        <v>45</v>
      </c>
      <c r="D130">
        <v>193.82</v>
      </c>
      <c r="E130">
        <v>6</v>
      </c>
      <c r="F130">
        <v>10</v>
      </c>
      <c r="G130">
        <v>8</v>
      </c>
      <c r="H130">
        <v>9</v>
      </c>
    </row>
    <row r="131" spans="1:8" x14ac:dyDescent="0.25">
      <c r="A131" t="s">
        <v>527</v>
      </c>
      <c r="B131">
        <v>10</v>
      </c>
      <c r="C131">
        <v>150</v>
      </c>
      <c r="D131">
        <v>43.800000000000004</v>
      </c>
      <c r="E131">
        <v>5</v>
      </c>
      <c r="F131">
        <v>9</v>
      </c>
      <c r="G131">
        <v>7</v>
      </c>
      <c r="H131">
        <v>9</v>
      </c>
    </row>
    <row r="132" spans="1:8" x14ac:dyDescent="0.25">
      <c r="A132" t="s">
        <v>347</v>
      </c>
      <c r="B132">
        <v>11</v>
      </c>
      <c r="C132">
        <v>70</v>
      </c>
      <c r="D132">
        <v>23.310000000000002</v>
      </c>
      <c r="E132">
        <v>9</v>
      </c>
      <c r="F132">
        <v>8</v>
      </c>
      <c r="G132">
        <v>7</v>
      </c>
      <c r="H132">
        <v>9</v>
      </c>
    </row>
    <row r="133" spans="1:8" x14ac:dyDescent="0.25">
      <c r="A133" t="s">
        <v>500</v>
      </c>
      <c r="B133">
        <v>10</v>
      </c>
      <c r="C133">
        <v>150</v>
      </c>
      <c r="D133">
        <v>27.950000000000003</v>
      </c>
      <c r="E133">
        <v>8</v>
      </c>
      <c r="F133">
        <v>7</v>
      </c>
      <c r="G133">
        <v>6</v>
      </c>
      <c r="H133">
        <v>9</v>
      </c>
    </row>
    <row r="134" spans="1:8" x14ac:dyDescent="0.25">
      <c r="A134" t="s">
        <v>448</v>
      </c>
      <c r="B134">
        <v>11</v>
      </c>
      <c r="C134">
        <v>100</v>
      </c>
      <c r="D134">
        <v>85.100000000000009</v>
      </c>
      <c r="E134">
        <v>6</v>
      </c>
      <c r="F134">
        <v>8</v>
      </c>
      <c r="G134">
        <v>11</v>
      </c>
      <c r="H134">
        <v>8</v>
      </c>
    </row>
    <row r="135" spans="1:8" x14ac:dyDescent="0.25">
      <c r="A135" t="s">
        <v>366</v>
      </c>
      <c r="B135">
        <v>12</v>
      </c>
      <c r="C135">
        <v>70</v>
      </c>
      <c r="D135">
        <v>91.86</v>
      </c>
      <c r="E135">
        <v>10</v>
      </c>
      <c r="F135">
        <v>7</v>
      </c>
      <c r="G135">
        <v>11</v>
      </c>
      <c r="H135">
        <v>8</v>
      </c>
    </row>
    <row r="136" spans="1:8" x14ac:dyDescent="0.25">
      <c r="A136" t="s">
        <v>489</v>
      </c>
      <c r="B136">
        <v>10</v>
      </c>
      <c r="C136">
        <v>150</v>
      </c>
      <c r="D136">
        <v>10</v>
      </c>
      <c r="E136">
        <v>5</v>
      </c>
      <c r="F136">
        <v>7</v>
      </c>
      <c r="G136">
        <v>10</v>
      </c>
      <c r="H136">
        <v>8</v>
      </c>
    </row>
    <row r="137" spans="1:8" x14ac:dyDescent="0.25">
      <c r="A137" t="s">
        <v>459</v>
      </c>
      <c r="B137">
        <v>10</v>
      </c>
      <c r="C137">
        <v>100</v>
      </c>
      <c r="D137">
        <v>136.30000000000001</v>
      </c>
      <c r="E137">
        <v>5</v>
      </c>
      <c r="F137">
        <v>7</v>
      </c>
      <c r="G137">
        <v>10</v>
      </c>
      <c r="H137">
        <v>8</v>
      </c>
    </row>
    <row r="138" spans="1:8" x14ac:dyDescent="0.25">
      <c r="A138" t="s">
        <v>494</v>
      </c>
      <c r="B138">
        <v>10</v>
      </c>
      <c r="C138">
        <v>150</v>
      </c>
      <c r="D138">
        <v>21.3</v>
      </c>
      <c r="E138">
        <v>5</v>
      </c>
      <c r="F138">
        <v>7</v>
      </c>
      <c r="G138">
        <v>10</v>
      </c>
      <c r="H138">
        <v>8</v>
      </c>
    </row>
    <row r="139" spans="1:8" x14ac:dyDescent="0.25">
      <c r="A139" t="s">
        <v>510</v>
      </c>
      <c r="B139">
        <v>13</v>
      </c>
      <c r="C139">
        <v>150</v>
      </c>
      <c r="D139">
        <v>176</v>
      </c>
      <c r="E139">
        <v>10</v>
      </c>
      <c r="F139">
        <v>12</v>
      </c>
      <c r="G139">
        <v>9</v>
      </c>
      <c r="H139">
        <v>8</v>
      </c>
    </row>
    <row r="140" spans="1:8" x14ac:dyDescent="0.25">
      <c r="A140" t="s">
        <v>452</v>
      </c>
      <c r="B140">
        <v>13</v>
      </c>
      <c r="C140">
        <v>100</v>
      </c>
      <c r="D140">
        <v>18.130000000000003</v>
      </c>
      <c r="E140">
        <v>12</v>
      </c>
      <c r="F140">
        <v>10</v>
      </c>
      <c r="G140">
        <v>9</v>
      </c>
      <c r="H140">
        <v>8</v>
      </c>
    </row>
    <row r="141" spans="1:8" x14ac:dyDescent="0.25">
      <c r="A141" t="s">
        <v>467</v>
      </c>
      <c r="B141">
        <v>9</v>
      </c>
      <c r="C141">
        <v>100</v>
      </c>
      <c r="D141">
        <v>95.675000000000011</v>
      </c>
      <c r="E141">
        <v>4</v>
      </c>
      <c r="F141">
        <v>6</v>
      </c>
      <c r="G141">
        <v>9</v>
      </c>
      <c r="H141">
        <v>8</v>
      </c>
    </row>
    <row r="142" spans="1:8" x14ac:dyDescent="0.25">
      <c r="A142" t="s">
        <v>524</v>
      </c>
      <c r="B142">
        <v>9</v>
      </c>
      <c r="C142">
        <v>150</v>
      </c>
      <c r="D142">
        <v>155</v>
      </c>
      <c r="E142">
        <v>4</v>
      </c>
      <c r="F142">
        <v>6</v>
      </c>
      <c r="G142">
        <v>9</v>
      </c>
      <c r="H142">
        <v>8</v>
      </c>
    </row>
    <row r="143" spans="1:8" x14ac:dyDescent="0.25">
      <c r="A143" t="s">
        <v>591</v>
      </c>
      <c r="B143">
        <v>13</v>
      </c>
      <c r="C143">
        <v>200</v>
      </c>
      <c r="D143">
        <v>36.700000000000003</v>
      </c>
      <c r="E143">
        <v>11</v>
      </c>
      <c r="F143">
        <v>12</v>
      </c>
      <c r="G143">
        <v>8</v>
      </c>
      <c r="H143">
        <v>8</v>
      </c>
    </row>
    <row r="144" spans="1:8" x14ac:dyDescent="0.25">
      <c r="A144" t="s">
        <v>560</v>
      </c>
      <c r="B144">
        <v>13</v>
      </c>
      <c r="C144">
        <v>200</v>
      </c>
      <c r="D144">
        <v>43.4</v>
      </c>
      <c r="E144">
        <v>11</v>
      </c>
      <c r="F144">
        <v>12</v>
      </c>
      <c r="G144">
        <v>8</v>
      </c>
      <c r="H144">
        <v>8</v>
      </c>
    </row>
    <row r="145" spans="1:8" x14ac:dyDescent="0.25">
      <c r="A145" t="s">
        <v>571</v>
      </c>
      <c r="B145">
        <v>11</v>
      </c>
      <c r="C145">
        <v>200</v>
      </c>
      <c r="D145">
        <v>53.33</v>
      </c>
      <c r="E145">
        <v>10</v>
      </c>
      <c r="F145">
        <v>8</v>
      </c>
      <c r="G145">
        <v>7</v>
      </c>
      <c r="H145">
        <v>8</v>
      </c>
    </row>
    <row r="146" spans="1:8" x14ac:dyDescent="0.25">
      <c r="A146" t="s">
        <v>539</v>
      </c>
      <c r="B146">
        <v>10</v>
      </c>
      <c r="C146">
        <v>150</v>
      </c>
      <c r="D146">
        <v>67.320000000000007</v>
      </c>
      <c r="E146">
        <v>7</v>
      </c>
      <c r="F146">
        <v>9</v>
      </c>
      <c r="G146">
        <v>6</v>
      </c>
      <c r="H146">
        <v>8</v>
      </c>
    </row>
    <row r="147" spans="1:8" x14ac:dyDescent="0.25">
      <c r="A147" t="s">
        <v>532</v>
      </c>
      <c r="B147">
        <v>10</v>
      </c>
      <c r="C147">
        <v>150</v>
      </c>
      <c r="D147">
        <v>11.864000000000001</v>
      </c>
      <c r="E147">
        <v>8</v>
      </c>
      <c r="F147">
        <v>9</v>
      </c>
      <c r="G147">
        <v>5</v>
      </c>
      <c r="H147">
        <v>8</v>
      </c>
    </row>
    <row r="148" spans="1:8" x14ac:dyDescent="0.25">
      <c r="A148" t="s">
        <v>547</v>
      </c>
      <c r="B148">
        <v>9</v>
      </c>
      <c r="C148">
        <v>150</v>
      </c>
      <c r="D148">
        <v>30.800000000000004</v>
      </c>
      <c r="E148">
        <v>6</v>
      </c>
      <c r="F148">
        <v>8</v>
      </c>
      <c r="G148">
        <v>5</v>
      </c>
      <c r="H148">
        <v>8</v>
      </c>
    </row>
    <row r="149" spans="1:8" x14ac:dyDescent="0.25">
      <c r="A149" t="s">
        <v>477</v>
      </c>
      <c r="B149">
        <v>9</v>
      </c>
      <c r="C149">
        <v>150</v>
      </c>
      <c r="D149">
        <v>4</v>
      </c>
      <c r="E149">
        <v>6</v>
      </c>
      <c r="F149">
        <v>8</v>
      </c>
      <c r="G149">
        <v>5</v>
      </c>
      <c r="H149">
        <v>8</v>
      </c>
    </row>
    <row r="150" spans="1:8" x14ac:dyDescent="0.25">
      <c r="A150" t="s">
        <v>472</v>
      </c>
      <c r="B150">
        <v>9</v>
      </c>
      <c r="C150">
        <v>150</v>
      </c>
      <c r="D150">
        <v>4</v>
      </c>
      <c r="E150">
        <v>6</v>
      </c>
      <c r="F150">
        <v>8</v>
      </c>
      <c r="G150">
        <v>5</v>
      </c>
      <c r="H150">
        <v>8</v>
      </c>
    </row>
    <row r="151" spans="1:8" x14ac:dyDescent="0.25">
      <c r="A151" t="s">
        <v>279</v>
      </c>
      <c r="B151">
        <v>11</v>
      </c>
      <c r="C151">
        <v>45</v>
      </c>
      <c r="D151">
        <v>253.8</v>
      </c>
      <c r="E151">
        <v>8</v>
      </c>
      <c r="F151">
        <v>8</v>
      </c>
      <c r="G151">
        <v>10</v>
      </c>
      <c r="H151">
        <v>7</v>
      </c>
    </row>
    <row r="152" spans="1:8" x14ac:dyDescent="0.25">
      <c r="A152" t="s">
        <v>529</v>
      </c>
      <c r="B152">
        <v>10</v>
      </c>
      <c r="C152">
        <v>150</v>
      </c>
      <c r="D152">
        <v>38.6</v>
      </c>
      <c r="E152">
        <v>5</v>
      </c>
      <c r="F152">
        <v>9</v>
      </c>
      <c r="G152">
        <v>9</v>
      </c>
      <c r="H152">
        <v>7</v>
      </c>
    </row>
    <row r="153" spans="1:8" x14ac:dyDescent="0.25">
      <c r="A153" t="s">
        <v>430</v>
      </c>
      <c r="B153">
        <v>9</v>
      </c>
      <c r="C153">
        <v>100</v>
      </c>
      <c r="D153">
        <v>74.05</v>
      </c>
      <c r="E153">
        <v>4</v>
      </c>
      <c r="F153">
        <v>8</v>
      </c>
      <c r="G153">
        <v>8</v>
      </c>
      <c r="H153">
        <v>7</v>
      </c>
    </row>
    <row r="154" spans="1:8" x14ac:dyDescent="0.25">
      <c r="A154" t="s">
        <v>487</v>
      </c>
      <c r="B154">
        <v>12</v>
      </c>
      <c r="C154">
        <v>150</v>
      </c>
      <c r="D154">
        <v>1</v>
      </c>
      <c r="E154">
        <v>11</v>
      </c>
      <c r="F154">
        <v>11</v>
      </c>
      <c r="G154">
        <v>7</v>
      </c>
      <c r="H154">
        <v>7</v>
      </c>
    </row>
    <row r="155" spans="1:8" x14ac:dyDescent="0.25">
      <c r="A155" t="s">
        <v>552</v>
      </c>
      <c r="B155">
        <v>8</v>
      </c>
      <c r="C155">
        <v>150</v>
      </c>
      <c r="D155">
        <v>4</v>
      </c>
      <c r="E155">
        <v>5</v>
      </c>
      <c r="F155">
        <v>5</v>
      </c>
      <c r="G155">
        <v>7</v>
      </c>
      <c r="H155">
        <v>7</v>
      </c>
    </row>
    <row r="156" spans="1:8" x14ac:dyDescent="0.25">
      <c r="A156" t="s">
        <v>536</v>
      </c>
      <c r="B156">
        <v>9</v>
      </c>
      <c r="C156">
        <v>150</v>
      </c>
      <c r="D156">
        <v>37.863999999999997</v>
      </c>
      <c r="E156">
        <v>7</v>
      </c>
      <c r="F156">
        <v>8</v>
      </c>
      <c r="G156">
        <v>5</v>
      </c>
      <c r="H156">
        <v>7</v>
      </c>
    </row>
    <row r="157" spans="1:8" x14ac:dyDescent="0.25">
      <c r="A157" t="s">
        <v>516</v>
      </c>
      <c r="B157">
        <v>8</v>
      </c>
      <c r="C157">
        <v>150</v>
      </c>
      <c r="D157">
        <v>4</v>
      </c>
      <c r="E157">
        <v>5</v>
      </c>
      <c r="F157">
        <v>7</v>
      </c>
      <c r="G157">
        <v>5</v>
      </c>
      <c r="H157">
        <v>7</v>
      </c>
    </row>
    <row r="158" spans="1:8" x14ac:dyDescent="0.25">
      <c r="A158" t="s">
        <v>485</v>
      </c>
      <c r="B158">
        <v>9</v>
      </c>
      <c r="C158">
        <v>150</v>
      </c>
      <c r="D158">
        <v>1</v>
      </c>
      <c r="E158">
        <v>8</v>
      </c>
      <c r="F158">
        <v>8</v>
      </c>
      <c r="G158">
        <v>4</v>
      </c>
      <c r="H158">
        <v>7</v>
      </c>
    </row>
    <row r="159" spans="1:8" x14ac:dyDescent="0.25">
      <c r="A159" t="s">
        <v>426</v>
      </c>
      <c r="B159">
        <v>9</v>
      </c>
      <c r="C159">
        <v>100</v>
      </c>
      <c r="D159">
        <v>74.05</v>
      </c>
      <c r="E159">
        <v>4</v>
      </c>
      <c r="F159">
        <v>8</v>
      </c>
      <c r="G159">
        <v>9</v>
      </c>
      <c r="H159">
        <v>6</v>
      </c>
    </row>
    <row r="160" spans="1:8" x14ac:dyDescent="0.25">
      <c r="A160" t="s">
        <v>509</v>
      </c>
      <c r="B160">
        <v>9</v>
      </c>
      <c r="C160">
        <v>150</v>
      </c>
      <c r="D160">
        <v>61.1</v>
      </c>
      <c r="E160">
        <v>4</v>
      </c>
      <c r="F160">
        <v>8</v>
      </c>
      <c r="G160">
        <v>9</v>
      </c>
      <c r="H160">
        <v>6</v>
      </c>
    </row>
    <row r="161" spans="1:8" x14ac:dyDescent="0.25">
      <c r="A161" t="s">
        <v>508</v>
      </c>
      <c r="B161">
        <v>9</v>
      </c>
      <c r="C161">
        <v>150</v>
      </c>
      <c r="D161">
        <v>61.1</v>
      </c>
      <c r="E161">
        <v>4</v>
      </c>
      <c r="F161">
        <v>8</v>
      </c>
      <c r="G161">
        <v>9</v>
      </c>
      <c r="H161">
        <v>6</v>
      </c>
    </row>
    <row r="162" spans="1:8" x14ac:dyDescent="0.25">
      <c r="A162" t="s">
        <v>522</v>
      </c>
      <c r="B162">
        <v>8</v>
      </c>
      <c r="C162">
        <v>150</v>
      </c>
      <c r="D162">
        <v>75</v>
      </c>
      <c r="E162">
        <v>3</v>
      </c>
      <c r="F162">
        <v>7</v>
      </c>
      <c r="G162">
        <v>8</v>
      </c>
      <c r="H162">
        <v>6</v>
      </c>
    </row>
    <row r="163" spans="1:8" x14ac:dyDescent="0.25">
      <c r="A163" t="s">
        <v>558</v>
      </c>
      <c r="B163">
        <v>11</v>
      </c>
      <c r="C163">
        <v>200</v>
      </c>
      <c r="D163">
        <v>83.140909090909091</v>
      </c>
      <c r="E163">
        <v>10</v>
      </c>
      <c r="F163">
        <v>10</v>
      </c>
      <c r="G163">
        <v>7</v>
      </c>
      <c r="H163">
        <v>6</v>
      </c>
    </row>
    <row r="164" spans="1:8" x14ac:dyDescent="0.25">
      <c r="A164" t="s">
        <v>555</v>
      </c>
      <c r="B164">
        <v>11</v>
      </c>
      <c r="C164">
        <v>200</v>
      </c>
      <c r="D164">
        <v>23.18</v>
      </c>
      <c r="E164">
        <v>10</v>
      </c>
      <c r="F164">
        <v>10</v>
      </c>
      <c r="G164">
        <v>7</v>
      </c>
      <c r="H164">
        <v>6</v>
      </c>
    </row>
    <row r="165" spans="1:8" x14ac:dyDescent="0.25">
      <c r="A165" t="s">
        <v>559</v>
      </c>
      <c r="B165">
        <v>11</v>
      </c>
      <c r="C165">
        <v>200</v>
      </c>
      <c r="D165">
        <v>29.405000000000005</v>
      </c>
      <c r="E165">
        <v>10</v>
      </c>
      <c r="F165">
        <v>10</v>
      </c>
      <c r="G165">
        <v>7</v>
      </c>
      <c r="H165">
        <v>6</v>
      </c>
    </row>
    <row r="166" spans="1:8" x14ac:dyDescent="0.25">
      <c r="A166" t="s">
        <v>481</v>
      </c>
      <c r="B166">
        <v>7</v>
      </c>
      <c r="C166">
        <v>150</v>
      </c>
      <c r="D166">
        <v>10</v>
      </c>
      <c r="E166">
        <v>2</v>
      </c>
      <c r="F166">
        <v>6</v>
      </c>
      <c r="G166">
        <v>7</v>
      </c>
      <c r="H166">
        <v>6</v>
      </c>
    </row>
    <row r="167" spans="1:8" x14ac:dyDescent="0.25">
      <c r="A167" t="s">
        <v>545</v>
      </c>
      <c r="B167">
        <v>7</v>
      </c>
      <c r="C167">
        <v>150</v>
      </c>
      <c r="D167">
        <v>61.175000000000004</v>
      </c>
      <c r="E167">
        <v>2</v>
      </c>
      <c r="F167">
        <v>6</v>
      </c>
      <c r="G167">
        <v>7</v>
      </c>
      <c r="H167">
        <v>6</v>
      </c>
    </row>
    <row r="168" spans="1:8" x14ac:dyDescent="0.25">
      <c r="A168" t="s">
        <v>428</v>
      </c>
      <c r="B168">
        <v>7</v>
      </c>
      <c r="C168">
        <v>100</v>
      </c>
      <c r="D168">
        <v>74.05</v>
      </c>
      <c r="E168">
        <v>2</v>
      </c>
      <c r="F168">
        <v>6</v>
      </c>
      <c r="G168">
        <v>7</v>
      </c>
      <c r="H168">
        <v>6</v>
      </c>
    </row>
    <row r="169" spans="1:8" x14ac:dyDescent="0.25">
      <c r="A169" t="s">
        <v>514</v>
      </c>
      <c r="B169">
        <v>7</v>
      </c>
      <c r="C169">
        <v>150</v>
      </c>
      <c r="D169">
        <v>38.199999999999996</v>
      </c>
      <c r="E169">
        <v>4</v>
      </c>
      <c r="F169">
        <v>4</v>
      </c>
      <c r="G169">
        <v>7</v>
      </c>
      <c r="H169">
        <v>6</v>
      </c>
    </row>
    <row r="170" spans="1:8" x14ac:dyDescent="0.25">
      <c r="A170" t="s">
        <v>475</v>
      </c>
      <c r="B170">
        <v>8</v>
      </c>
      <c r="C170">
        <v>150</v>
      </c>
      <c r="D170">
        <v>1</v>
      </c>
      <c r="E170">
        <v>7</v>
      </c>
      <c r="F170">
        <v>7</v>
      </c>
      <c r="G170">
        <v>4</v>
      </c>
      <c r="H170">
        <v>6</v>
      </c>
    </row>
    <row r="171" spans="1:8" x14ac:dyDescent="0.25">
      <c r="A171" t="s">
        <v>525</v>
      </c>
      <c r="B171">
        <v>8</v>
      </c>
      <c r="C171">
        <v>150</v>
      </c>
      <c r="D171">
        <v>32.82</v>
      </c>
      <c r="E171">
        <v>5</v>
      </c>
      <c r="F171">
        <v>7</v>
      </c>
      <c r="G171">
        <v>7</v>
      </c>
      <c r="H171">
        <v>5</v>
      </c>
    </row>
    <row r="172" spans="1:8" x14ac:dyDescent="0.25">
      <c r="A172" t="s">
        <v>543</v>
      </c>
      <c r="B172">
        <v>7</v>
      </c>
      <c r="C172">
        <v>150</v>
      </c>
      <c r="D172">
        <v>33.070000000000007</v>
      </c>
      <c r="E172">
        <v>4</v>
      </c>
      <c r="F172">
        <v>6</v>
      </c>
      <c r="G172">
        <v>7</v>
      </c>
      <c r="H172">
        <v>4</v>
      </c>
    </row>
    <row r="173" spans="1:8" x14ac:dyDescent="0.25">
      <c r="A173" t="s">
        <v>479</v>
      </c>
      <c r="B173">
        <v>7</v>
      </c>
      <c r="C173">
        <v>150</v>
      </c>
      <c r="D173">
        <v>4</v>
      </c>
      <c r="E173">
        <v>4</v>
      </c>
      <c r="F173">
        <v>6</v>
      </c>
      <c r="G173">
        <v>7</v>
      </c>
      <c r="H173">
        <v>4</v>
      </c>
    </row>
    <row r="174" spans="1:8" x14ac:dyDescent="0.25">
      <c r="A174" t="s">
        <v>541</v>
      </c>
      <c r="B174">
        <v>6</v>
      </c>
      <c r="C174">
        <v>150</v>
      </c>
      <c r="D174">
        <v>39.070000000000007</v>
      </c>
      <c r="E174">
        <v>3</v>
      </c>
      <c r="F174">
        <v>5</v>
      </c>
      <c r="G174">
        <v>6</v>
      </c>
      <c r="H174">
        <v>4</v>
      </c>
    </row>
    <row r="175" spans="1:8" x14ac:dyDescent="0.25">
      <c r="A175" t="s">
        <v>490</v>
      </c>
      <c r="B175">
        <v>5</v>
      </c>
      <c r="C175">
        <v>150</v>
      </c>
      <c r="D175">
        <v>4</v>
      </c>
      <c r="E175">
        <v>2</v>
      </c>
      <c r="F175">
        <v>4</v>
      </c>
      <c r="G175">
        <v>5</v>
      </c>
      <c r="H175">
        <v>4</v>
      </c>
    </row>
    <row r="176" spans="1:8" x14ac:dyDescent="0.25">
      <c r="A176" t="s">
        <v>550</v>
      </c>
      <c r="B176">
        <v>5</v>
      </c>
      <c r="C176">
        <v>150</v>
      </c>
      <c r="D176">
        <v>5</v>
      </c>
      <c r="E176">
        <v>2</v>
      </c>
      <c r="F176">
        <v>4</v>
      </c>
      <c r="G176">
        <v>5</v>
      </c>
      <c r="H176">
        <v>4</v>
      </c>
    </row>
    <row r="177" spans="1:8" x14ac:dyDescent="0.25">
      <c r="A177" t="s">
        <v>521</v>
      </c>
      <c r="B177">
        <v>5</v>
      </c>
      <c r="C177">
        <v>150</v>
      </c>
      <c r="D177">
        <v>52.399999999999991</v>
      </c>
      <c r="E177">
        <v>2</v>
      </c>
      <c r="F177">
        <v>4</v>
      </c>
      <c r="G177">
        <v>5</v>
      </c>
      <c r="H177">
        <v>4</v>
      </c>
    </row>
  </sheetData>
  <autoFilter ref="A1:H178" xr:uid="{28FED0E0-2CDA-4BF1-BF9B-D4AB1C07DFB8}">
    <sortState xmlns:xlrd2="http://schemas.microsoft.com/office/spreadsheetml/2017/richdata2" ref="A2:H178">
      <sortCondition descending="1" ref="H1:H178"/>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3FD01-A5B8-413A-A2E8-0CCE433B9941}">
  <sheetPr>
    <tabColor theme="7" tint="0.59999389629810485"/>
  </sheetPr>
  <dimension ref="A1:G171"/>
  <sheetViews>
    <sheetView workbookViewId="0"/>
  </sheetViews>
  <sheetFormatPr defaultRowHeight="15" x14ac:dyDescent="0.25"/>
  <cols>
    <col min="1" max="1" width="57.85546875" customWidth="1"/>
    <col min="2" max="2" width="31.85546875" customWidth="1"/>
    <col min="3" max="3" width="31.140625" customWidth="1"/>
    <col min="4" max="4" width="25.5703125" customWidth="1"/>
    <col min="5" max="5" width="25.140625" customWidth="1"/>
    <col min="6" max="6" width="24.140625" customWidth="1"/>
  </cols>
  <sheetData>
    <row r="1" spans="1:7" ht="26.25" thickBot="1" x14ac:dyDescent="0.3">
      <c r="A1" s="55" t="s">
        <v>643</v>
      </c>
      <c r="B1" s="55" t="s">
        <v>644</v>
      </c>
      <c r="C1" s="55" t="s">
        <v>645</v>
      </c>
      <c r="D1" s="55" t="s">
        <v>646</v>
      </c>
      <c r="E1" s="56" t="s">
        <v>647</v>
      </c>
      <c r="F1" s="61" t="s">
        <v>648</v>
      </c>
      <c r="G1" s="61" t="s">
        <v>649</v>
      </c>
    </row>
    <row r="2" spans="1:7" ht="15.75" thickBot="1" x14ac:dyDescent="0.3">
      <c r="A2" s="59" t="s">
        <v>83</v>
      </c>
      <c r="B2" t="s">
        <v>273</v>
      </c>
      <c r="C2" t="s">
        <v>147</v>
      </c>
      <c r="D2" t="s">
        <v>147</v>
      </c>
      <c r="E2" t="s">
        <v>147</v>
      </c>
      <c r="F2" s="3" t="s">
        <v>244</v>
      </c>
      <c r="G2">
        <f t="shared" ref="G2:G25" si="0">COUNTIF($B$2:$F$25,A2)</f>
        <v>3</v>
      </c>
    </row>
    <row r="3" spans="1:7" ht="15.75" thickBot="1" x14ac:dyDescent="0.3">
      <c r="A3" s="59" t="s">
        <v>87</v>
      </c>
      <c r="B3" t="s">
        <v>147</v>
      </c>
      <c r="C3" t="s">
        <v>578</v>
      </c>
      <c r="D3" t="s">
        <v>140</v>
      </c>
      <c r="E3" t="s">
        <v>271</v>
      </c>
      <c r="F3" s="3" t="s">
        <v>177</v>
      </c>
      <c r="G3">
        <f t="shared" si="0"/>
        <v>2</v>
      </c>
    </row>
    <row r="4" spans="1:7" ht="15.75" thickBot="1" x14ac:dyDescent="0.3">
      <c r="A4" s="59" t="s">
        <v>89</v>
      </c>
      <c r="B4" t="s">
        <v>140</v>
      </c>
      <c r="C4" t="s">
        <v>267</v>
      </c>
      <c r="D4" t="s">
        <v>271</v>
      </c>
      <c r="E4" t="s">
        <v>184</v>
      </c>
      <c r="F4" s="3" t="s">
        <v>181</v>
      </c>
      <c r="G4">
        <f t="shared" si="0"/>
        <v>0</v>
      </c>
    </row>
    <row r="5" spans="1:7" ht="15.75" thickBot="1" x14ac:dyDescent="0.3">
      <c r="A5" s="59" t="s">
        <v>94</v>
      </c>
      <c r="B5" t="s">
        <v>271</v>
      </c>
      <c r="C5" t="s">
        <v>399</v>
      </c>
      <c r="D5" t="s">
        <v>184</v>
      </c>
      <c r="E5" t="s">
        <v>125</v>
      </c>
      <c r="F5" s="3" t="s">
        <v>295</v>
      </c>
      <c r="G5">
        <f t="shared" si="0"/>
        <v>0</v>
      </c>
    </row>
    <row r="6" spans="1:7" ht="15.75" thickBot="1" x14ac:dyDescent="0.3">
      <c r="A6" s="59" t="s">
        <v>98</v>
      </c>
      <c r="B6" t="s">
        <v>184</v>
      </c>
      <c r="C6" t="s">
        <v>140</v>
      </c>
      <c r="D6" t="s">
        <v>125</v>
      </c>
      <c r="E6" t="s">
        <v>114</v>
      </c>
      <c r="F6" s="3" t="s">
        <v>624</v>
      </c>
      <c r="G6">
        <f t="shared" si="0"/>
        <v>2</v>
      </c>
    </row>
    <row r="7" spans="1:7" ht="15.75" thickBot="1" x14ac:dyDescent="0.3">
      <c r="A7" s="59" t="s">
        <v>102</v>
      </c>
      <c r="B7" t="s">
        <v>248</v>
      </c>
      <c r="C7" t="s">
        <v>271</v>
      </c>
      <c r="D7" t="s">
        <v>136</v>
      </c>
      <c r="E7" t="s">
        <v>222</v>
      </c>
      <c r="F7" s="3" t="s">
        <v>590</v>
      </c>
      <c r="G7">
        <f t="shared" si="0"/>
        <v>1</v>
      </c>
    </row>
    <row r="8" spans="1:7" ht="15.75" thickBot="1" x14ac:dyDescent="0.3">
      <c r="A8" s="59" t="s">
        <v>106</v>
      </c>
      <c r="B8" t="s">
        <v>352</v>
      </c>
      <c r="C8" t="s">
        <v>184</v>
      </c>
      <c r="D8" t="s">
        <v>83</v>
      </c>
      <c r="E8" t="s">
        <v>140</v>
      </c>
      <c r="F8" s="3" t="s">
        <v>596</v>
      </c>
      <c r="G8">
        <f t="shared" si="0"/>
        <v>0</v>
      </c>
    </row>
    <row r="9" spans="1:7" ht="15.75" thickBot="1" x14ac:dyDescent="0.3">
      <c r="A9" s="59" t="s">
        <v>110</v>
      </c>
      <c r="B9" t="s">
        <v>125</v>
      </c>
      <c r="C9" t="s">
        <v>125</v>
      </c>
      <c r="D9" t="s">
        <v>596</v>
      </c>
      <c r="E9" t="s">
        <v>136</v>
      </c>
      <c r="F9" s="3" t="s">
        <v>140</v>
      </c>
      <c r="G9">
        <f t="shared" si="0"/>
        <v>1</v>
      </c>
    </row>
    <row r="10" spans="1:7" ht="15.75" thickBot="1" x14ac:dyDescent="0.3">
      <c r="A10" s="59" t="s">
        <v>114</v>
      </c>
      <c r="B10" t="s">
        <v>342</v>
      </c>
      <c r="C10" t="s">
        <v>582</v>
      </c>
      <c r="D10" t="s">
        <v>87</v>
      </c>
      <c r="E10" t="s">
        <v>83</v>
      </c>
      <c r="F10" s="3" t="s">
        <v>254</v>
      </c>
      <c r="G10">
        <f t="shared" si="0"/>
        <v>4</v>
      </c>
    </row>
    <row r="11" spans="1:7" ht="15.75" thickBot="1" x14ac:dyDescent="0.3">
      <c r="A11" s="59" t="s">
        <v>119</v>
      </c>
      <c r="B11" t="s">
        <v>561</v>
      </c>
      <c r="C11" t="s">
        <v>590</v>
      </c>
      <c r="D11" t="s">
        <v>226</v>
      </c>
      <c r="E11" t="s">
        <v>596</v>
      </c>
      <c r="F11" s="3" t="s">
        <v>136</v>
      </c>
      <c r="G11">
        <f t="shared" si="0"/>
        <v>3</v>
      </c>
    </row>
    <row r="12" spans="1:7" ht="15.75" thickBot="1" x14ac:dyDescent="0.3">
      <c r="A12" s="59" t="s">
        <v>121</v>
      </c>
      <c r="B12" t="s">
        <v>110</v>
      </c>
      <c r="C12" t="s">
        <v>376</v>
      </c>
      <c r="D12" t="s">
        <v>304</v>
      </c>
      <c r="E12" t="s">
        <v>87</v>
      </c>
      <c r="F12" s="3" t="s">
        <v>267</v>
      </c>
      <c r="G12">
        <f t="shared" si="0"/>
        <v>0</v>
      </c>
    </row>
    <row r="13" spans="1:7" ht="15.75" thickBot="1" x14ac:dyDescent="0.3">
      <c r="A13" s="59" t="s">
        <v>125</v>
      </c>
      <c r="B13" t="s">
        <v>195</v>
      </c>
      <c r="C13" t="s">
        <v>159</v>
      </c>
      <c r="D13" t="s">
        <v>258</v>
      </c>
      <c r="E13" t="s">
        <v>187</v>
      </c>
      <c r="F13" s="3" t="s">
        <v>399</v>
      </c>
      <c r="G13">
        <f t="shared" si="0"/>
        <v>5</v>
      </c>
    </row>
    <row r="14" spans="1:7" ht="15.75" thickBot="1" x14ac:dyDescent="0.3">
      <c r="A14" s="59" t="s">
        <v>130</v>
      </c>
      <c r="B14" t="s">
        <v>582</v>
      </c>
      <c r="C14" t="s">
        <v>98</v>
      </c>
      <c r="D14" t="s">
        <v>569</v>
      </c>
      <c r="E14" t="s">
        <v>119</v>
      </c>
      <c r="F14" s="3" t="s">
        <v>248</v>
      </c>
      <c r="G14">
        <f t="shared" si="0"/>
        <v>0</v>
      </c>
    </row>
    <row r="15" spans="1:7" ht="15.75" thickBot="1" x14ac:dyDescent="0.3">
      <c r="A15" s="59" t="s">
        <v>133</v>
      </c>
      <c r="B15" t="s">
        <v>150</v>
      </c>
      <c r="C15" t="s">
        <v>155</v>
      </c>
      <c r="D15" t="s">
        <v>306</v>
      </c>
      <c r="E15" t="s">
        <v>177</v>
      </c>
      <c r="F15" s="3" t="s">
        <v>102</v>
      </c>
      <c r="G15">
        <f t="shared" si="0"/>
        <v>0</v>
      </c>
    </row>
    <row r="16" spans="1:7" ht="15.75" thickBot="1" x14ac:dyDescent="0.3">
      <c r="A16" s="59" t="s">
        <v>136</v>
      </c>
      <c r="B16" t="s">
        <v>578</v>
      </c>
      <c r="C16" t="s">
        <v>143</v>
      </c>
      <c r="D16" t="s">
        <v>337</v>
      </c>
      <c r="E16" t="s">
        <v>287</v>
      </c>
      <c r="F16" s="3" t="s">
        <v>184</v>
      </c>
      <c r="G16">
        <f t="shared" si="0"/>
        <v>3</v>
      </c>
    </row>
    <row r="17" spans="1:7" ht="15.75" thickBot="1" x14ac:dyDescent="0.3">
      <c r="A17" s="59" t="s">
        <v>140</v>
      </c>
      <c r="B17" t="s">
        <v>574</v>
      </c>
      <c r="C17" t="s">
        <v>407</v>
      </c>
      <c r="D17" t="s">
        <v>308</v>
      </c>
      <c r="E17" t="s">
        <v>226</v>
      </c>
      <c r="F17" s="3" t="s">
        <v>125</v>
      </c>
      <c r="G17">
        <f t="shared" si="0"/>
        <v>5</v>
      </c>
    </row>
    <row r="18" spans="1:7" ht="15.75" thickBot="1" x14ac:dyDescent="0.3">
      <c r="A18" s="59" t="s">
        <v>143</v>
      </c>
      <c r="B18" t="s">
        <v>335</v>
      </c>
      <c r="C18" t="s">
        <v>295</v>
      </c>
      <c r="D18" t="s">
        <v>578</v>
      </c>
      <c r="E18" t="s">
        <v>578</v>
      </c>
      <c r="F18" s="3" t="s">
        <v>283</v>
      </c>
      <c r="G18">
        <f t="shared" si="0"/>
        <v>2</v>
      </c>
    </row>
    <row r="19" spans="1:7" ht="15.75" thickBot="1" x14ac:dyDescent="0.3">
      <c r="A19" s="59" t="s">
        <v>147</v>
      </c>
      <c r="B19" t="s">
        <v>114</v>
      </c>
      <c r="C19" t="s">
        <v>408</v>
      </c>
      <c r="D19" t="s">
        <v>155</v>
      </c>
      <c r="E19" t="s">
        <v>404</v>
      </c>
      <c r="F19" s="3" t="s">
        <v>287</v>
      </c>
      <c r="G19">
        <f t="shared" si="0"/>
        <v>4</v>
      </c>
    </row>
    <row r="20" spans="1:7" ht="15.75" thickBot="1" x14ac:dyDescent="0.3">
      <c r="A20" s="59" t="s">
        <v>150</v>
      </c>
      <c r="B20" t="s">
        <v>462</v>
      </c>
      <c r="C20" t="s">
        <v>203</v>
      </c>
      <c r="D20" t="s">
        <v>407</v>
      </c>
      <c r="E20" t="s">
        <v>590</v>
      </c>
      <c r="F20" s="3" t="s">
        <v>119</v>
      </c>
      <c r="G20">
        <f t="shared" si="0"/>
        <v>1</v>
      </c>
    </row>
    <row r="21" spans="1:7" ht="15.75" thickBot="1" x14ac:dyDescent="0.3">
      <c r="A21" s="59" t="s">
        <v>155</v>
      </c>
      <c r="B21" t="s">
        <v>317</v>
      </c>
      <c r="C21" t="s">
        <v>398</v>
      </c>
      <c r="D21" t="s">
        <v>408</v>
      </c>
      <c r="E21" t="s">
        <v>376</v>
      </c>
      <c r="F21" s="3" t="s">
        <v>332</v>
      </c>
      <c r="G21">
        <f t="shared" si="0"/>
        <v>2</v>
      </c>
    </row>
    <row r="22" spans="1:7" ht="15.75" thickBot="1" x14ac:dyDescent="0.3">
      <c r="A22" s="59" t="s">
        <v>159</v>
      </c>
      <c r="B22" t="s">
        <v>456</v>
      </c>
      <c r="C22" t="s">
        <v>209</v>
      </c>
      <c r="D22" t="s">
        <v>114</v>
      </c>
      <c r="E22" t="s">
        <v>159</v>
      </c>
      <c r="F22" s="3" t="s">
        <v>230</v>
      </c>
      <c r="G22">
        <f t="shared" si="0"/>
        <v>2</v>
      </c>
    </row>
    <row r="23" spans="1:7" ht="15.75" thickBot="1" x14ac:dyDescent="0.3">
      <c r="A23" s="59" t="s">
        <v>165</v>
      </c>
      <c r="B23" t="s">
        <v>171</v>
      </c>
      <c r="C23" t="s">
        <v>482</v>
      </c>
      <c r="D23" t="s">
        <v>222</v>
      </c>
      <c r="E23" t="s">
        <v>98</v>
      </c>
      <c r="F23" s="3" t="s">
        <v>328</v>
      </c>
      <c r="G23">
        <f t="shared" si="0"/>
        <v>1</v>
      </c>
    </row>
    <row r="24" spans="1:7" ht="15.75" thickBot="1" x14ac:dyDescent="0.3">
      <c r="A24" s="59" t="s">
        <v>171</v>
      </c>
      <c r="B24" t="s">
        <v>165</v>
      </c>
      <c r="C24" t="s">
        <v>574</v>
      </c>
      <c r="D24" t="s">
        <v>187</v>
      </c>
      <c r="E24" t="s">
        <v>143</v>
      </c>
      <c r="F24" s="3" t="s">
        <v>83</v>
      </c>
      <c r="G24">
        <f t="shared" si="0"/>
        <v>1</v>
      </c>
    </row>
    <row r="25" spans="1:7" ht="15.75" thickBot="1" x14ac:dyDescent="0.3">
      <c r="A25" s="59" t="s">
        <v>177</v>
      </c>
      <c r="B25" t="s">
        <v>262</v>
      </c>
      <c r="C25" t="s">
        <v>114</v>
      </c>
      <c r="D25" t="s">
        <v>119</v>
      </c>
      <c r="E25" t="s">
        <v>295</v>
      </c>
      <c r="F25" s="3" t="s">
        <v>370</v>
      </c>
      <c r="G25">
        <f t="shared" si="0"/>
        <v>2</v>
      </c>
    </row>
    <row r="26" spans="1:7" x14ac:dyDescent="0.25">
      <c r="A26" s="5"/>
      <c r="B26" s="53"/>
      <c r="F26" s="3"/>
    </row>
    <row r="27" spans="1:7" x14ac:dyDescent="0.25">
      <c r="A27" s="5"/>
      <c r="B27" s="53"/>
      <c r="F27" s="3"/>
    </row>
    <row r="28" spans="1:7" x14ac:dyDescent="0.25">
      <c r="A28" s="5"/>
      <c r="B28" s="53"/>
    </row>
    <row r="29" spans="1:7" x14ac:dyDescent="0.25">
      <c r="A29" s="5"/>
      <c r="B29" s="53"/>
    </row>
    <row r="30" spans="1:7" x14ac:dyDescent="0.25">
      <c r="A30" s="5"/>
      <c r="B30" s="53"/>
    </row>
    <row r="31" spans="1:7" ht="15.75" thickBot="1" x14ac:dyDescent="0.3">
      <c r="A31" s="5"/>
      <c r="B31" s="53"/>
    </row>
    <row r="32" spans="1:7" ht="26.25" thickBot="1" x14ac:dyDescent="0.3">
      <c r="A32" s="54" t="s">
        <v>643</v>
      </c>
      <c r="B32" s="56" t="s">
        <v>650</v>
      </c>
    </row>
    <row r="33" spans="1:2" ht="15.75" thickBot="1" x14ac:dyDescent="0.3">
      <c r="A33" s="58" t="s">
        <v>125</v>
      </c>
      <c r="B33" s="63">
        <v>5</v>
      </c>
    </row>
    <row r="34" spans="1:2" ht="15.75" thickBot="1" x14ac:dyDescent="0.3">
      <c r="A34" s="58" t="s">
        <v>140</v>
      </c>
      <c r="B34" s="63">
        <v>5</v>
      </c>
    </row>
    <row r="35" spans="1:2" ht="15.75" thickBot="1" x14ac:dyDescent="0.3">
      <c r="A35" s="58" t="s">
        <v>114</v>
      </c>
      <c r="B35" s="63">
        <v>4</v>
      </c>
    </row>
    <row r="36" spans="1:2" ht="15.75" thickBot="1" x14ac:dyDescent="0.3">
      <c r="A36" s="58" t="s">
        <v>147</v>
      </c>
      <c r="B36" s="63">
        <v>4</v>
      </c>
    </row>
    <row r="37" spans="1:2" ht="15.75" thickBot="1" x14ac:dyDescent="0.3">
      <c r="A37" s="57" t="s">
        <v>83</v>
      </c>
      <c r="B37" s="62">
        <v>3</v>
      </c>
    </row>
    <row r="38" spans="1:2" ht="15.75" thickBot="1" x14ac:dyDescent="0.3">
      <c r="A38" s="57" t="s">
        <v>119</v>
      </c>
      <c r="B38" s="62">
        <v>3</v>
      </c>
    </row>
    <row r="39" spans="1:2" ht="15.75" thickBot="1" x14ac:dyDescent="0.3">
      <c r="A39" s="57" t="s">
        <v>136</v>
      </c>
      <c r="B39" s="62">
        <v>3</v>
      </c>
    </row>
    <row r="40" spans="1:2" ht="15.75" thickBot="1" x14ac:dyDescent="0.3">
      <c r="A40" s="58" t="s">
        <v>87</v>
      </c>
      <c r="B40" s="63">
        <v>2</v>
      </c>
    </row>
    <row r="41" spans="1:2" ht="15.75" thickBot="1" x14ac:dyDescent="0.3">
      <c r="A41" s="57" t="s">
        <v>98</v>
      </c>
      <c r="B41" s="62">
        <v>2</v>
      </c>
    </row>
    <row r="42" spans="1:2" ht="15.75" thickBot="1" x14ac:dyDescent="0.3">
      <c r="A42" s="57" t="s">
        <v>143</v>
      </c>
      <c r="B42" s="62">
        <v>2</v>
      </c>
    </row>
    <row r="43" spans="1:2" ht="15.75" thickBot="1" x14ac:dyDescent="0.3">
      <c r="A43" s="57" t="s">
        <v>155</v>
      </c>
      <c r="B43" s="62">
        <v>2</v>
      </c>
    </row>
    <row r="44" spans="1:2" ht="15.75" thickBot="1" x14ac:dyDescent="0.3">
      <c r="A44" s="58" t="s">
        <v>159</v>
      </c>
      <c r="B44" s="63">
        <v>2</v>
      </c>
    </row>
    <row r="45" spans="1:2" ht="15.75" thickBot="1" x14ac:dyDescent="0.3">
      <c r="A45" s="57" t="s">
        <v>177</v>
      </c>
      <c r="B45" s="62">
        <v>2</v>
      </c>
    </row>
    <row r="46" spans="1:2" x14ac:dyDescent="0.25">
      <c r="A46" s="5"/>
      <c r="B46" s="53"/>
    </row>
    <row r="47" spans="1:2" x14ac:dyDescent="0.25">
      <c r="A47" s="5"/>
      <c r="B47" s="53"/>
    </row>
    <row r="48" spans="1:2" x14ac:dyDescent="0.25">
      <c r="A48" s="5"/>
      <c r="B48" s="53"/>
    </row>
    <row r="49" spans="1:2" x14ac:dyDescent="0.25">
      <c r="A49" s="5"/>
      <c r="B49" s="53"/>
    </row>
    <row r="50" spans="1:2" x14ac:dyDescent="0.25">
      <c r="A50" s="5"/>
      <c r="B50" s="53"/>
    </row>
    <row r="51" spans="1:2" x14ac:dyDescent="0.25">
      <c r="A51" s="5"/>
      <c r="B51" s="53"/>
    </row>
    <row r="52" spans="1:2" x14ac:dyDescent="0.25">
      <c r="A52" s="5"/>
      <c r="B52" s="53"/>
    </row>
    <row r="53" spans="1:2" x14ac:dyDescent="0.25">
      <c r="A53" s="5"/>
      <c r="B53" s="53"/>
    </row>
    <row r="54" spans="1:2" x14ac:dyDescent="0.25">
      <c r="A54" s="5"/>
      <c r="B54" s="53"/>
    </row>
    <row r="55" spans="1:2" x14ac:dyDescent="0.25">
      <c r="A55" s="5"/>
      <c r="B55" s="53"/>
    </row>
    <row r="56" spans="1:2" x14ac:dyDescent="0.25">
      <c r="A56" s="5"/>
      <c r="B56" s="53"/>
    </row>
    <row r="57" spans="1:2" x14ac:dyDescent="0.25">
      <c r="A57" s="5"/>
      <c r="B57" s="53"/>
    </row>
    <row r="58" spans="1:2" x14ac:dyDescent="0.25">
      <c r="A58" s="5"/>
      <c r="B58" s="53"/>
    </row>
    <row r="59" spans="1:2" x14ac:dyDescent="0.25">
      <c r="A59" s="5"/>
      <c r="B59" s="53"/>
    </row>
    <row r="60" spans="1:2" x14ac:dyDescent="0.25">
      <c r="A60" s="5"/>
      <c r="B60" s="53"/>
    </row>
    <row r="61" spans="1:2" x14ac:dyDescent="0.25">
      <c r="A61" s="5"/>
      <c r="B61" s="53"/>
    </row>
    <row r="62" spans="1:2" x14ac:dyDescent="0.25">
      <c r="A62" s="5"/>
      <c r="B62" s="53"/>
    </row>
    <row r="63" spans="1:2" x14ac:dyDescent="0.25">
      <c r="A63" s="5"/>
      <c r="B63" s="53"/>
    </row>
    <row r="64" spans="1:2" x14ac:dyDescent="0.25">
      <c r="A64" s="5"/>
      <c r="B64" s="53"/>
    </row>
    <row r="65" spans="1:2" x14ac:dyDescent="0.25">
      <c r="A65" s="5"/>
      <c r="B65" s="53"/>
    </row>
    <row r="66" spans="1:2" x14ac:dyDescent="0.25">
      <c r="A66" s="5"/>
      <c r="B66" s="53"/>
    </row>
    <row r="67" spans="1:2" x14ac:dyDescent="0.25">
      <c r="A67" s="5"/>
      <c r="B67" s="53"/>
    </row>
    <row r="68" spans="1:2" x14ac:dyDescent="0.25">
      <c r="A68" s="5"/>
      <c r="B68" s="53"/>
    </row>
    <row r="69" spans="1:2" x14ac:dyDescent="0.25">
      <c r="A69" s="5"/>
      <c r="B69" s="53"/>
    </row>
    <row r="70" spans="1:2" x14ac:dyDescent="0.25">
      <c r="A70" s="5"/>
      <c r="B70" s="53"/>
    </row>
    <row r="71" spans="1:2" x14ac:dyDescent="0.25">
      <c r="A71" s="5"/>
      <c r="B71" s="53"/>
    </row>
    <row r="72" spans="1:2" x14ac:dyDescent="0.25">
      <c r="A72" s="5"/>
      <c r="B72" s="53"/>
    </row>
    <row r="73" spans="1:2" x14ac:dyDescent="0.25">
      <c r="A73" s="5"/>
      <c r="B73" s="53"/>
    </row>
    <row r="74" spans="1:2" x14ac:dyDescent="0.25">
      <c r="A74" s="5"/>
      <c r="B74" s="53"/>
    </row>
    <row r="75" spans="1:2" x14ac:dyDescent="0.25">
      <c r="A75" s="5"/>
      <c r="B75" s="53"/>
    </row>
    <row r="76" spans="1:2" x14ac:dyDescent="0.25">
      <c r="A76" s="5"/>
      <c r="B76" s="53"/>
    </row>
    <row r="77" spans="1:2" x14ac:dyDescent="0.25">
      <c r="A77" s="5"/>
      <c r="B77" s="53"/>
    </row>
    <row r="78" spans="1:2" x14ac:dyDescent="0.25">
      <c r="A78" s="5"/>
      <c r="B78" s="53"/>
    </row>
    <row r="79" spans="1:2" x14ac:dyDescent="0.25">
      <c r="A79" s="5"/>
      <c r="B79" s="53"/>
    </row>
    <row r="80" spans="1:2" x14ac:dyDescent="0.25">
      <c r="A80" s="5"/>
      <c r="B80" s="53"/>
    </row>
    <row r="81" spans="1:2" x14ac:dyDescent="0.25">
      <c r="A81" s="5"/>
      <c r="B81" s="53"/>
    </row>
    <row r="82" spans="1:2" x14ac:dyDescent="0.25">
      <c r="A82" s="5"/>
      <c r="B82" s="53"/>
    </row>
    <row r="83" spans="1:2" x14ac:dyDescent="0.25">
      <c r="A83" s="5"/>
      <c r="B83" s="53"/>
    </row>
    <row r="84" spans="1:2" x14ac:dyDescent="0.25">
      <c r="A84" s="5"/>
      <c r="B84" s="53"/>
    </row>
    <row r="85" spans="1:2" x14ac:dyDescent="0.25">
      <c r="A85" s="5"/>
      <c r="B85" s="53"/>
    </row>
    <row r="86" spans="1:2" x14ac:dyDescent="0.25">
      <c r="A86" s="5"/>
      <c r="B86" s="53"/>
    </row>
    <row r="87" spans="1:2" x14ac:dyDescent="0.25">
      <c r="A87" s="5"/>
      <c r="B87" s="53"/>
    </row>
    <row r="88" spans="1:2" x14ac:dyDescent="0.25">
      <c r="A88" s="5"/>
      <c r="B88" s="53"/>
    </row>
    <row r="89" spans="1:2" x14ac:dyDescent="0.25">
      <c r="A89" s="5"/>
      <c r="B89" s="53"/>
    </row>
    <row r="90" spans="1:2" x14ac:dyDescent="0.25">
      <c r="A90" s="5"/>
      <c r="B90" s="53"/>
    </row>
    <row r="91" spans="1:2" x14ac:dyDescent="0.25">
      <c r="A91" s="5"/>
      <c r="B91" s="53"/>
    </row>
    <row r="92" spans="1:2" x14ac:dyDescent="0.25">
      <c r="A92" s="5"/>
      <c r="B92" s="53"/>
    </row>
    <row r="93" spans="1:2" x14ac:dyDescent="0.25">
      <c r="A93" s="5"/>
      <c r="B93" s="53"/>
    </row>
    <row r="94" spans="1:2" x14ac:dyDescent="0.25">
      <c r="A94" s="5"/>
      <c r="B94" s="53"/>
    </row>
    <row r="95" spans="1:2" x14ac:dyDescent="0.25">
      <c r="A95" s="5"/>
      <c r="B95" s="53"/>
    </row>
    <row r="96" spans="1:2" x14ac:dyDescent="0.25">
      <c r="A96" s="5"/>
      <c r="B96" s="53"/>
    </row>
    <row r="97" spans="1:2" x14ac:dyDescent="0.25">
      <c r="A97" s="5"/>
      <c r="B97" s="53"/>
    </row>
    <row r="98" spans="1:2" x14ac:dyDescent="0.25">
      <c r="A98" s="5"/>
      <c r="B98" s="53"/>
    </row>
    <row r="99" spans="1:2" x14ac:dyDescent="0.25">
      <c r="A99" s="5"/>
      <c r="B99" s="53"/>
    </row>
    <row r="100" spans="1:2" x14ac:dyDescent="0.25">
      <c r="A100" s="5"/>
      <c r="B100" s="53"/>
    </row>
    <row r="101" spans="1:2" x14ac:dyDescent="0.25">
      <c r="A101" s="5"/>
      <c r="B101" s="53"/>
    </row>
    <row r="102" spans="1:2" x14ac:dyDescent="0.25">
      <c r="A102" s="5"/>
      <c r="B102" s="53"/>
    </row>
    <row r="103" spans="1:2" x14ac:dyDescent="0.25">
      <c r="A103" s="5"/>
      <c r="B103" s="53"/>
    </row>
    <row r="104" spans="1:2" x14ac:dyDescent="0.25">
      <c r="A104" s="5"/>
      <c r="B104" s="53"/>
    </row>
    <row r="105" spans="1:2" x14ac:dyDescent="0.25">
      <c r="A105" s="5"/>
      <c r="B105" s="53"/>
    </row>
    <row r="106" spans="1:2" x14ac:dyDescent="0.25">
      <c r="A106" s="5"/>
      <c r="B106" s="53"/>
    </row>
    <row r="107" spans="1:2" x14ac:dyDescent="0.25">
      <c r="A107" s="5"/>
      <c r="B107" s="53"/>
    </row>
    <row r="108" spans="1:2" x14ac:dyDescent="0.25">
      <c r="A108" s="5"/>
      <c r="B108" s="53"/>
    </row>
    <row r="109" spans="1:2" x14ac:dyDescent="0.25">
      <c r="A109" s="5"/>
      <c r="B109" s="53"/>
    </row>
    <row r="110" spans="1:2" x14ac:dyDescent="0.25">
      <c r="A110" s="5"/>
      <c r="B110" s="53"/>
    </row>
    <row r="111" spans="1:2" x14ac:dyDescent="0.25">
      <c r="A111" s="5"/>
      <c r="B111" s="53"/>
    </row>
    <row r="112" spans="1:2" x14ac:dyDescent="0.25">
      <c r="A112" s="5"/>
      <c r="B112" s="53"/>
    </row>
    <row r="113" spans="1:2" x14ac:dyDescent="0.25">
      <c r="A113" s="5"/>
      <c r="B113" s="53"/>
    </row>
    <row r="114" spans="1:2" x14ac:dyDescent="0.25">
      <c r="A114" s="5"/>
      <c r="B114" s="53"/>
    </row>
    <row r="115" spans="1:2" x14ac:dyDescent="0.25">
      <c r="A115" s="5"/>
      <c r="B115" s="53"/>
    </row>
    <row r="116" spans="1:2" x14ac:dyDescent="0.25">
      <c r="A116" s="5"/>
      <c r="B116" s="53"/>
    </row>
    <row r="117" spans="1:2" x14ac:dyDescent="0.25">
      <c r="A117" s="5"/>
      <c r="B117" s="53"/>
    </row>
    <row r="118" spans="1:2" x14ac:dyDescent="0.25">
      <c r="A118" s="5"/>
      <c r="B118" s="53"/>
    </row>
    <row r="119" spans="1:2" x14ac:dyDescent="0.25">
      <c r="A119" s="5"/>
      <c r="B119" s="53"/>
    </row>
    <row r="120" spans="1:2" x14ac:dyDescent="0.25">
      <c r="A120" s="5"/>
      <c r="B120" s="53"/>
    </row>
    <row r="121" spans="1:2" x14ac:dyDescent="0.25">
      <c r="A121" s="5"/>
      <c r="B121" s="53"/>
    </row>
    <row r="122" spans="1:2" x14ac:dyDescent="0.25">
      <c r="A122" s="5"/>
      <c r="B122" s="53"/>
    </row>
    <row r="123" spans="1:2" x14ac:dyDescent="0.25">
      <c r="A123" s="5"/>
      <c r="B123" s="53"/>
    </row>
    <row r="124" spans="1:2" x14ac:dyDescent="0.25">
      <c r="A124" s="5"/>
      <c r="B124" s="53"/>
    </row>
    <row r="125" spans="1:2" x14ac:dyDescent="0.25">
      <c r="A125" s="5"/>
      <c r="B125" s="53"/>
    </row>
    <row r="126" spans="1:2" x14ac:dyDescent="0.25">
      <c r="A126" s="5"/>
      <c r="B126" s="53"/>
    </row>
    <row r="127" spans="1:2" x14ac:dyDescent="0.25">
      <c r="A127" s="5"/>
      <c r="B127" s="53"/>
    </row>
    <row r="128" spans="1:2" x14ac:dyDescent="0.25">
      <c r="A128" s="5"/>
      <c r="B128" s="53"/>
    </row>
    <row r="129" spans="1:2" x14ac:dyDescent="0.25">
      <c r="A129" s="5"/>
      <c r="B129" s="53"/>
    </row>
    <row r="130" spans="1:2" x14ac:dyDescent="0.25">
      <c r="A130" s="5"/>
      <c r="B130" s="53"/>
    </row>
    <row r="131" spans="1:2" x14ac:dyDescent="0.25">
      <c r="A131" s="5"/>
      <c r="B131" s="53"/>
    </row>
    <row r="132" spans="1:2" x14ac:dyDescent="0.25">
      <c r="A132" s="5"/>
      <c r="B132" s="53"/>
    </row>
    <row r="133" spans="1:2" x14ac:dyDescent="0.25">
      <c r="A133" s="5"/>
      <c r="B133" s="53"/>
    </row>
    <row r="134" spans="1:2" x14ac:dyDescent="0.25">
      <c r="A134" s="5"/>
      <c r="B134" s="53"/>
    </row>
    <row r="135" spans="1:2" x14ac:dyDescent="0.25">
      <c r="A135" s="5"/>
      <c r="B135" s="53"/>
    </row>
    <row r="136" spans="1:2" x14ac:dyDescent="0.25">
      <c r="A136" s="5"/>
      <c r="B136" s="53"/>
    </row>
    <row r="137" spans="1:2" x14ac:dyDescent="0.25">
      <c r="A137" s="5"/>
      <c r="B137" s="53"/>
    </row>
    <row r="138" spans="1:2" x14ac:dyDescent="0.25">
      <c r="A138" s="5"/>
      <c r="B138" s="53"/>
    </row>
    <row r="139" spans="1:2" x14ac:dyDescent="0.25">
      <c r="A139" s="5"/>
      <c r="B139" s="53"/>
    </row>
    <row r="140" spans="1:2" x14ac:dyDescent="0.25">
      <c r="A140" s="5"/>
      <c r="B140" s="53"/>
    </row>
    <row r="141" spans="1:2" x14ac:dyDescent="0.25">
      <c r="A141" s="5"/>
      <c r="B141" s="53"/>
    </row>
    <row r="142" spans="1:2" x14ac:dyDescent="0.25">
      <c r="A142" s="5"/>
      <c r="B142" s="53"/>
    </row>
    <row r="143" spans="1:2" x14ac:dyDescent="0.25">
      <c r="A143" s="5"/>
      <c r="B143" s="53"/>
    </row>
    <row r="144" spans="1:2" x14ac:dyDescent="0.25">
      <c r="A144" s="5"/>
      <c r="B144" s="53"/>
    </row>
    <row r="145" spans="1:2" x14ac:dyDescent="0.25">
      <c r="A145" s="5"/>
      <c r="B145" s="53"/>
    </row>
    <row r="146" spans="1:2" x14ac:dyDescent="0.25">
      <c r="A146" s="5"/>
      <c r="B146" s="53"/>
    </row>
    <row r="147" spans="1:2" x14ac:dyDescent="0.25">
      <c r="A147" s="5"/>
      <c r="B147" s="53"/>
    </row>
    <row r="148" spans="1:2" x14ac:dyDescent="0.25">
      <c r="A148" s="5"/>
      <c r="B148" s="53"/>
    </row>
    <row r="149" spans="1:2" x14ac:dyDescent="0.25">
      <c r="A149" s="5"/>
      <c r="B149" s="53"/>
    </row>
    <row r="150" spans="1:2" x14ac:dyDescent="0.25">
      <c r="A150" s="5"/>
      <c r="B150" s="53"/>
    </row>
    <row r="151" spans="1:2" x14ac:dyDescent="0.25">
      <c r="A151" s="5"/>
      <c r="B151" s="53"/>
    </row>
    <row r="152" spans="1:2" x14ac:dyDescent="0.25">
      <c r="A152" s="5"/>
      <c r="B152" s="53"/>
    </row>
    <row r="153" spans="1:2" x14ac:dyDescent="0.25">
      <c r="A153" s="5"/>
      <c r="B153" s="53"/>
    </row>
    <row r="154" spans="1:2" x14ac:dyDescent="0.25">
      <c r="A154" s="5"/>
      <c r="B154" s="53"/>
    </row>
    <row r="155" spans="1:2" x14ac:dyDescent="0.25">
      <c r="A155" s="5"/>
      <c r="B155" s="53"/>
    </row>
    <row r="156" spans="1:2" x14ac:dyDescent="0.25">
      <c r="A156" s="5"/>
      <c r="B156" s="53"/>
    </row>
    <row r="157" spans="1:2" x14ac:dyDescent="0.25">
      <c r="A157" s="5"/>
      <c r="B157" s="53"/>
    </row>
    <row r="158" spans="1:2" x14ac:dyDescent="0.25">
      <c r="A158" s="5"/>
      <c r="B158" s="53"/>
    </row>
    <row r="159" spans="1:2" x14ac:dyDescent="0.25">
      <c r="A159" s="5"/>
      <c r="B159" s="53"/>
    </row>
    <row r="160" spans="1:2" x14ac:dyDescent="0.25">
      <c r="A160" s="5"/>
      <c r="B160" s="53"/>
    </row>
    <row r="161" spans="1:2" x14ac:dyDescent="0.25">
      <c r="A161" s="5"/>
      <c r="B161" s="53"/>
    </row>
    <row r="162" spans="1:2" x14ac:dyDescent="0.25">
      <c r="A162" s="5"/>
      <c r="B162" s="53"/>
    </row>
    <row r="163" spans="1:2" x14ac:dyDescent="0.25">
      <c r="A163" s="5"/>
      <c r="B163" s="53"/>
    </row>
    <row r="164" spans="1:2" x14ac:dyDescent="0.25">
      <c r="A164" s="5"/>
      <c r="B164" s="53"/>
    </row>
    <row r="165" spans="1:2" x14ac:dyDescent="0.25">
      <c r="A165" s="5"/>
      <c r="B165" s="53"/>
    </row>
    <row r="166" spans="1:2" x14ac:dyDescent="0.25">
      <c r="A166" s="5"/>
      <c r="B166" s="53"/>
    </row>
    <row r="167" spans="1:2" x14ac:dyDescent="0.25">
      <c r="A167" s="5"/>
      <c r="B167" s="53"/>
    </row>
    <row r="168" spans="1:2" x14ac:dyDescent="0.25">
      <c r="A168" s="5"/>
      <c r="B168" s="53"/>
    </row>
    <row r="169" spans="1:2" x14ac:dyDescent="0.25">
      <c r="A169" s="5"/>
      <c r="B169" s="53"/>
    </row>
    <row r="170" spans="1:2" x14ac:dyDescent="0.25">
      <c r="A170" s="5"/>
      <c r="B170" s="53"/>
    </row>
    <row r="171" spans="1:2" x14ac:dyDescent="0.25">
      <c r="A171" s="5"/>
      <c r="B171" s="53"/>
    </row>
  </sheetData>
  <sortState xmlns:xlrd2="http://schemas.microsoft.com/office/spreadsheetml/2017/richdata2" ref="A32:B45">
    <sortCondition descending="1" ref="B33:B45"/>
  </sortState>
  <conditionalFormatting sqref="B16:B31 B46:B171">
    <cfRule type="colorScale" priority="294">
      <colorScale>
        <cfvo type="min"/>
        <cfvo type="max"/>
        <color rgb="FF63BE7B"/>
        <color rgb="FFFCFCFF"/>
      </colorScale>
    </cfRule>
  </conditionalFormatting>
  <conditionalFormatting sqref="A2:B25">
    <cfRule type="duplicateValues" dxfId="4" priority="6"/>
  </conditionalFormatting>
  <conditionalFormatting sqref="A2:A25 C2:C25">
    <cfRule type="duplicateValues" dxfId="3" priority="5"/>
  </conditionalFormatting>
  <conditionalFormatting sqref="A2:A25 D2:D25">
    <cfRule type="duplicateValues" dxfId="2" priority="4"/>
  </conditionalFormatting>
  <conditionalFormatting sqref="A2:A25 E2:E25">
    <cfRule type="duplicateValues" dxfId="1" priority="3"/>
  </conditionalFormatting>
  <conditionalFormatting sqref="A2:A25 F2:F25">
    <cfRule type="duplicateValues" dxfId="0" priority="2"/>
  </conditionalFormatting>
  <conditionalFormatting sqref="G2:G25">
    <cfRule type="colorScale" priority="1">
      <colorScale>
        <cfvo type="min"/>
        <cfvo type="percentile" val="50"/>
        <cfvo type="max"/>
        <color rgb="FFF8696B"/>
        <color rgb="FFFFEB84"/>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2A2E6D9CDEB04F8C5ECC01F0DD3F98" ma:contentTypeVersion="36" ma:contentTypeDescription="Create a new document." ma:contentTypeScope="" ma:versionID="7319faa4d5072d56466c4ff67d9d29ec">
  <xsd:schema xmlns:xsd="http://www.w3.org/2001/XMLSchema" xmlns:xs="http://www.w3.org/2001/XMLSchema" xmlns:p="http://schemas.microsoft.com/office/2006/metadata/properties" xmlns:ns2="f4b92adf-7c78-4104-bf1e-27a87c0156b3" xmlns:ns3="6656246e-9127-47dc-83ec-dd09249a5dc8" xmlns:ns4="8c82a1b2-918d-4e18-ac71-bc0759543f0e" targetNamespace="http://schemas.microsoft.com/office/2006/metadata/properties" ma:root="true" ma:fieldsID="97c6f267441cf58e451cd586845411b0" ns2:_="" ns3:_="" ns4:_="">
    <xsd:import namespace="f4b92adf-7c78-4104-bf1e-27a87c0156b3"/>
    <xsd:import namespace="6656246e-9127-47dc-83ec-dd09249a5dc8"/>
    <xsd:import namespace="8c82a1b2-918d-4e18-ac71-bc0759543f0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D1_x0020_Aggregation_x0020_ID" minOccurs="0"/>
                <xsd:element ref="ns2:la339ecdba6246879d3eaf20f4e4d416" minOccurs="0"/>
                <xsd:element ref="ns3:TaxCatchAll" minOccurs="0"/>
                <xsd:element ref="ns2:f674ea925a0a42d29504ca070064d28b" minOccurs="0"/>
                <xsd:element ref="ns2:ad76565a6b1d45a984888d47dbaa6c28" minOccurs="0"/>
                <xsd:element ref="ns2:g82a2124723d41cb9559ca3374a7e8b3" minOccurs="0"/>
                <xsd:element ref="ns2:m5a791462790483f9301432296eeffe6" minOccurs="0"/>
                <xsd:element ref="ns2:n2cc04bbb97b4110b9787e97ab905666" minOccurs="0"/>
                <xsd:element ref="ns2:d302ddf8e6ea4f108391d4f1c2f56cf7" minOccurs="0"/>
                <xsd:element ref="ns2:b8109c6aadf7488c9c95de788f7659b8" minOccurs="0"/>
                <xsd:element ref="ns2:k8d0e6e895214ba09efc15d74736b462" minOccurs="0"/>
                <xsd:element ref="ns2:g1caef826b9b445b85dccf2c24acae96" minOccurs="0"/>
                <xsd:element ref="ns2:be7789c8cadf4ef9bb7b6ae26643f375" minOccurs="0"/>
                <xsd:element ref="ns2:D1_x0020_Disposal_x0020_Class_x0020_ID" minOccurs="0"/>
                <xsd:element ref="ns2:D1_x0020_Disposal_x0020_Trigger_x0020_Dat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b92adf-7c78-4104-bf1e-27a87c0156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D1_x0020_Aggregation_x0020_ID" ma:index="16" nillable="true" ma:displayName="D1 Aggregation ID" ma:internalName="D1_x0020_Aggregation_x0020_ID">
      <xsd:complexType>
        <xsd:complexContent>
          <xsd:extension base="dms:MultiChoiceFillIn">
            <xsd:sequence>
              <xsd:element name="Value" maxOccurs="unbounded" minOccurs="0" nillable="true">
                <xsd:simpleType>
                  <xsd:union memberTypes="dms:Text">
                    <xsd:simpleType>
                      <xsd:restriction base="dms:Choice">
                        <xsd:enumeration value="..."/>
                      </xsd:restriction>
                    </xsd:simpleType>
                  </xsd:union>
                </xsd:simpleType>
              </xsd:element>
            </xsd:sequence>
          </xsd:extension>
        </xsd:complexContent>
      </xsd:complexType>
    </xsd:element>
    <xsd:element name="la339ecdba6246879d3eaf20f4e4d416" ma:index="18" nillable="true" ma:taxonomy="true" ma:internalName="la339ecdba6246879d3eaf20f4e4d416" ma:taxonomyFieldName="D1_x0020_Instrument" ma:displayName="D1 Instrument" ma:fieldId="{5a339ecd-ba62-4687-9d3e-af20f4e4d416}" ma:taxonomyMulti="true" ma:sspId="ff230ced-49e3-4bbb-87bd-09c1ed00c10a" ma:termSetId="e6b79c1b-4954-47eb-8e96-b5599575c1fd" ma:anchorId="00000000-0000-0000-0000-000000000000" ma:open="false" ma:isKeyword="false">
      <xsd:complexType>
        <xsd:sequence>
          <xsd:element ref="pc:Terms" minOccurs="0" maxOccurs="1"/>
        </xsd:sequence>
      </xsd:complexType>
    </xsd:element>
    <xsd:element name="f674ea925a0a42d29504ca070064d28b" ma:index="21" nillable="true" ma:taxonomy="true" ma:internalName="f674ea925a0a42d29504ca070064d28b" ma:taxonomyFieldName="D1_x0020_Financial_x0020_Period" ma:displayName="D1 Financial Period" ma:fieldId="{f674ea92-5a0a-42d2-9504-ca070064d28b}" ma:taxonomyMulti="true" ma:sspId="ff230ced-49e3-4bbb-87bd-09c1ed00c10a" ma:termSetId="49e3d33c-8c55-449a-aa9b-30ac3ddc95f2" ma:anchorId="00000000-0000-0000-0000-000000000000" ma:open="false" ma:isKeyword="false">
      <xsd:complexType>
        <xsd:sequence>
          <xsd:element ref="pc:Terms" minOccurs="0" maxOccurs="1"/>
        </xsd:sequence>
      </xsd:complexType>
    </xsd:element>
    <xsd:element name="ad76565a6b1d45a984888d47dbaa6c28" ma:index="23" nillable="true" ma:taxonomy="true" ma:internalName="ad76565a6b1d45a984888d47dbaa6c28" ma:taxonomyFieldName="D1_x0020_Financial_x0020_Year" ma:displayName="D1 Financial Year" ma:fieldId="{ad76565a-6b1d-45a9-8488-8d47dbaa6c28}" ma:taxonomyMulti="true" ma:sspId="ff230ced-49e3-4bbb-87bd-09c1ed00c10a" ma:termSetId="2af5b25b-107d-4d61-b7eb-08e7c259bc18" ma:anchorId="00000000-0000-0000-0000-000000000000" ma:open="false" ma:isKeyword="false">
      <xsd:complexType>
        <xsd:sequence>
          <xsd:element ref="pc:Terms" minOccurs="0" maxOccurs="1"/>
        </xsd:sequence>
      </xsd:complexType>
    </xsd:element>
    <xsd:element name="g82a2124723d41cb9559ca3374a7e8b3" ma:index="25" nillable="true" ma:taxonomy="true" ma:internalName="g82a2124723d41cb9559ca3374a7e8b3" ma:taxonomyFieldName="D1_x0020_Programme_x0020_Project" ma:displayName="D1 Programme Project" ma:fieldId="{082a2124-723d-41cb-9559-ca3374a7e8b3}" ma:taxonomyMulti="true" ma:sspId="ff230ced-49e3-4bbb-87bd-09c1ed00c10a" ma:termSetId="f9084cb8-3837-45ee-b19c-35f80270572b" ma:anchorId="00000000-0000-0000-0000-000000000000" ma:open="false" ma:isKeyword="false">
      <xsd:complexType>
        <xsd:sequence>
          <xsd:element ref="pc:Terms" minOccurs="0" maxOccurs="1"/>
        </xsd:sequence>
      </xsd:complexType>
    </xsd:element>
    <xsd:element name="m5a791462790483f9301432296eeffe6" ma:index="27" nillable="true" ma:taxonomy="true" ma:internalName="m5a791462790483f9301432296eeffe6" ma:taxonomyFieldName="D1_x0020_Document_x0020_Category" ma:displayName="D1 Document Category" ma:fieldId="{65a79146-2790-483f-9301-432296eeffe6}" ma:taxonomyMulti="true" ma:sspId="ff230ced-49e3-4bbb-87bd-09c1ed00c10a" ma:termSetId="6a8ad7e6-b84e-4481-a0fc-904832309922" ma:anchorId="00000000-0000-0000-0000-000000000000" ma:open="false" ma:isKeyword="false">
      <xsd:complexType>
        <xsd:sequence>
          <xsd:element ref="pc:Terms" minOccurs="0" maxOccurs="1"/>
        </xsd:sequence>
      </xsd:complexType>
    </xsd:element>
    <xsd:element name="n2cc04bbb97b4110b9787e97ab905666" ma:index="29" nillable="true" ma:taxonomy="true" ma:internalName="n2cc04bbb97b4110b9787e97ab905666" ma:taxonomyFieldName="D1_x0020_Subject" ma:displayName="D1 Subject" ma:fieldId="{72cc04bb-b97b-4110-b978-7e97ab905666}" ma:taxonomyMulti="true" ma:sspId="ff230ced-49e3-4bbb-87bd-09c1ed00c10a" ma:termSetId="12883479-ed34-4320-85a0-1e4c407e2988" ma:anchorId="00000000-0000-0000-0000-000000000000" ma:open="false" ma:isKeyword="false">
      <xsd:complexType>
        <xsd:sequence>
          <xsd:element ref="pc:Terms" minOccurs="0" maxOccurs="1"/>
        </xsd:sequence>
      </xsd:complexType>
    </xsd:element>
    <xsd:element name="d302ddf8e6ea4f108391d4f1c2f56cf7" ma:index="31" nillable="true" ma:taxonomy="true" ma:internalName="d302ddf8e6ea4f108391d4f1c2f56cf7" ma:taxonomyFieldName="D1_x0020_Supplier" ma:displayName="D1 Supplier" ma:fieldId="{d302ddf8-e6ea-4f10-8391-d4f1c2f56cf7}" ma:taxonomyMulti="true" ma:sspId="ff230ced-49e3-4bbb-87bd-09c1ed00c10a" ma:termSetId="7b72085d-2014-4708-9405-772a5cdcaa8b" ma:anchorId="00000000-0000-0000-0000-000000000000" ma:open="false" ma:isKeyword="false">
      <xsd:complexType>
        <xsd:sequence>
          <xsd:element ref="pc:Terms" minOccurs="0" maxOccurs="1"/>
        </xsd:sequence>
      </xsd:complexType>
    </xsd:element>
    <xsd:element name="b8109c6aadf7488c9c95de788f7659b8" ma:index="33" nillable="true" ma:taxonomy="true" ma:internalName="b8109c6aadf7488c9c95de788f7659b8" ma:taxonomyFieldName="D1_x0020_Asset_x0020_Type" ma:displayName="D1 Asset Type" ma:fieldId="{b8109c6a-adf7-488c-9c95-de788f7659b8}" ma:taxonomyMulti="true" ma:sspId="ff230ced-49e3-4bbb-87bd-09c1ed00c10a" ma:termSetId="a5bee0cb-d5bf-4907-b815-f87ed9bc4f31" ma:anchorId="00000000-0000-0000-0000-000000000000" ma:open="false" ma:isKeyword="false">
      <xsd:complexType>
        <xsd:sequence>
          <xsd:element ref="pc:Terms" minOccurs="0" maxOccurs="1"/>
        </xsd:sequence>
      </xsd:complexType>
    </xsd:element>
    <xsd:element name="k8d0e6e895214ba09efc15d74736b462" ma:index="35" nillable="true" ma:taxonomy="true" ma:internalName="k8d0e6e895214ba09efc15d74736b462" ma:taxonomyFieldName="D1_x0020_Asset_x0020_Public_x0020_Transport_x0020_Network" ma:displayName="D1 Asset Public Transport Network" ma:fieldId="{48d0e6e8-9521-4ba0-9efc-15d74736b462}" ma:taxonomyMulti="true" ma:sspId="ff230ced-49e3-4bbb-87bd-09c1ed00c10a" ma:termSetId="2318be08-87d5-46b9-93f0-ddc8be9255ea" ma:anchorId="00000000-0000-0000-0000-000000000000" ma:open="false" ma:isKeyword="false">
      <xsd:complexType>
        <xsd:sequence>
          <xsd:element ref="pc:Terms" minOccurs="0" maxOccurs="1"/>
        </xsd:sequence>
      </xsd:complexType>
    </xsd:element>
    <xsd:element name="g1caef826b9b445b85dccf2c24acae96" ma:index="37" nillable="true" ma:taxonomy="true" ma:internalName="g1caef826b9b445b85dccf2c24acae96" ma:taxonomyFieldName="D1_x0020_Asset_x0020_Property_x0020_and_x0020_Facilities" ma:displayName="D1 Asset Property and Facilities" ma:fieldId="{01caef82-6b9b-445b-85dc-cf2c24acae96}" ma:taxonomyMulti="true" ma:sspId="ff230ced-49e3-4bbb-87bd-09c1ed00c10a" ma:termSetId="1122c7b1-d46a-4b5f-ade1-ccb43276c171" ma:anchorId="00000000-0000-0000-0000-000000000000" ma:open="false" ma:isKeyword="false">
      <xsd:complexType>
        <xsd:sequence>
          <xsd:element ref="pc:Terms" minOccurs="0" maxOccurs="1"/>
        </xsd:sequence>
      </xsd:complexType>
    </xsd:element>
    <xsd:element name="be7789c8cadf4ef9bb7b6ae26643f375" ma:index="39" nillable="true" ma:taxonomy="true" ma:internalName="be7789c8cadf4ef9bb7b6ae26643f375" ma:taxonomyFieldName="D1_x0020_Asset_x0020_Road_x0020_Network" ma:displayName="D1 Asset Road Network" ma:fieldId="{be7789c8-cadf-4ef9-bb7b-6ae26643f375}" ma:taxonomyMulti="true" ma:sspId="ff230ced-49e3-4bbb-87bd-09c1ed00c10a" ma:termSetId="7e336676-f8dc-4085-90f8-cab2609eea1b" ma:anchorId="00000000-0000-0000-0000-000000000000" ma:open="false" ma:isKeyword="false">
      <xsd:complexType>
        <xsd:sequence>
          <xsd:element ref="pc:Terms" minOccurs="0" maxOccurs="1"/>
        </xsd:sequence>
      </xsd:complexType>
    </xsd:element>
    <xsd:element name="D1_x0020_Disposal_x0020_Class_x0020_ID" ma:index="40" nillable="true" ma:displayName="D1 Disposal Class ID" ma:internalName="D1_x0020_Disposal_x0020_Class_x0020_ID">
      <xsd:complexType>
        <xsd:complexContent>
          <xsd:extension base="dms:MultiChoiceFillIn">
            <xsd:sequence>
              <xsd:element name="Value" maxOccurs="unbounded" minOccurs="0" nillable="true">
                <xsd:simpleType>
                  <xsd:union memberTypes="dms:Text">
                    <xsd:simpleType>
                      <xsd:restriction base="dms:Choice">
                        <xsd:enumeration value="..."/>
                      </xsd:restriction>
                    </xsd:simpleType>
                  </xsd:union>
                </xsd:simpleType>
              </xsd:element>
            </xsd:sequence>
          </xsd:extension>
        </xsd:complexContent>
      </xsd:complexType>
    </xsd:element>
    <xsd:element name="D1_x0020_Disposal_x0020_Trigger_x0020_Date" ma:index="41" nillable="true" ma:displayName="D1 Disposal Trigger Date" ma:internalName="D1_x0020_Disposal_x0020_Trigger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656246e-9127-47dc-83ec-dd09249a5dc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2b32337-3db3-4a82-abf3-d487c12d53be}" ma:internalName="TaxCatchAll" ma:showField="CatchAllData" ma:web="8c82a1b2-918d-4e18-ac71-bc0759543f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82a1b2-918d-4e18-ac71-bc0759543f0e" elementFormDefault="qualified">
    <xsd:import namespace="http://schemas.microsoft.com/office/2006/documentManagement/types"/>
    <xsd:import namespace="http://schemas.microsoft.com/office/infopath/2007/PartnerControls"/>
    <xsd:element name="SharedWithUsers" ma:index="4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656246e-9127-47dc-83ec-dd09249a5dc8">
      <Value>24</Value>
      <Value>23</Value>
      <Value>20</Value>
      <Value>93</Value>
      <Value>18</Value>
      <Value>135</Value>
      <Value>236</Value>
      <Value>4</Value>
      <Value>94</Value>
      <Value>113</Value>
      <Value>7</Value>
      <Value>6</Value>
      <Value>41</Value>
      <Value>39</Value>
    </TaxCatchAll>
    <D1_x0020_Disposal_x0020_Class_x0020_ID xmlns="f4b92adf-7c78-4104-bf1e-27a87c0156b3" xsi:nil="true"/>
    <ad76565a6b1d45a984888d47dbaa6c28 xmlns="f4b92adf-7c78-4104-bf1e-27a87c0156b3">
      <Terms xmlns="http://schemas.microsoft.com/office/infopath/2007/PartnerControls"/>
    </ad76565a6b1d45a984888d47dbaa6c28>
    <m5a791462790483f9301432296eeffe6 xmlns="f4b92adf-7c78-4104-bf1e-27a87c0156b3">
      <Terms xmlns="http://schemas.microsoft.com/office/infopath/2007/PartnerControls"/>
    </m5a791462790483f9301432296eeffe6>
    <n2cc04bbb97b4110b9787e97ab905666 xmlns="f4b92adf-7c78-4104-bf1e-27a87c0156b3">
      <Terms xmlns="http://schemas.microsoft.com/office/infopath/2007/PartnerControls"/>
    </n2cc04bbb97b4110b9787e97ab905666>
    <b8109c6aadf7488c9c95de788f7659b8 xmlns="f4b92adf-7c78-4104-bf1e-27a87c0156b3">
      <Terms xmlns="http://schemas.microsoft.com/office/infopath/2007/PartnerControls">
        <TermInfo xmlns="http://schemas.microsoft.com/office/infopath/2007/PartnerControls">
          <TermName xmlns="http://schemas.microsoft.com/office/infopath/2007/PartnerControls">Cycleway</TermName>
          <TermId xmlns="http://schemas.microsoft.com/office/infopath/2007/PartnerControls">7294b8f3-2953-4e67-8e10-db1c1bb1fe81</TermId>
        </TermInfo>
        <TermInfo xmlns="http://schemas.microsoft.com/office/infopath/2007/PartnerControls">
          <TermName xmlns="http://schemas.microsoft.com/office/infopath/2007/PartnerControls">Bridge</TermName>
          <TermId xmlns="http://schemas.microsoft.com/office/infopath/2007/PartnerControls">298775f4-0b56-41a7-b0cd-3177933d9cb7</TermId>
        </TermInfo>
        <TermInfo xmlns="http://schemas.microsoft.com/office/infopath/2007/PartnerControls">
          <TermName xmlns="http://schemas.microsoft.com/office/infopath/2007/PartnerControls">Footpath</TermName>
          <TermId xmlns="http://schemas.microsoft.com/office/infopath/2007/PartnerControls">6d883187-4c77-4276-9b8e-4b351fe0d6e2</TermId>
        </TermInfo>
        <TermInfo xmlns="http://schemas.microsoft.com/office/infopath/2007/PartnerControls">
          <TermName xmlns="http://schemas.microsoft.com/office/infopath/2007/PartnerControls">Grassed Area</TermName>
          <TermId xmlns="http://schemas.microsoft.com/office/infopath/2007/PartnerControls">97f9eea1-0ef3-42be-93e1-f81fba11a76b</TermId>
        </TermInfo>
        <TermInfo xmlns="http://schemas.microsoft.com/office/infopath/2007/PartnerControls">
          <TermName xmlns="http://schemas.microsoft.com/office/infopath/2007/PartnerControls">Kerb and Channel</TermName>
          <TermId xmlns="http://schemas.microsoft.com/office/infopath/2007/PartnerControls">1616e48e-1e57-423a-b3a2-6d38f3bed856</TermId>
        </TermInfo>
      </Terms>
    </b8109c6aadf7488c9c95de788f7659b8>
    <D1_x0020_Aggregation_x0020_ID xmlns="f4b92adf-7c78-4104-bf1e-27a87c0156b3" xsi:nil="true"/>
    <g1caef826b9b445b85dccf2c24acae96 xmlns="f4b92adf-7c78-4104-bf1e-27a87c0156b3">
      <Terms xmlns="http://schemas.microsoft.com/office/infopath/2007/PartnerControls"/>
    </g1caef826b9b445b85dccf2c24acae96>
    <be7789c8cadf4ef9bb7b6ae26643f375 xmlns="f4b92adf-7c78-4104-bf1e-27a87c0156b3">
      <Terms xmlns="http://schemas.microsoft.com/office/infopath/2007/PartnerControls"/>
    </be7789c8cadf4ef9bb7b6ae26643f375>
    <f674ea925a0a42d29504ca070064d28b xmlns="f4b92adf-7c78-4104-bf1e-27a87c0156b3">
      <Terms xmlns="http://schemas.microsoft.com/office/infopath/2007/PartnerControls"/>
    </f674ea925a0a42d29504ca070064d28b>
    <D1_x0020_Disposal_x0020_Trigger_x0020_Date xmlns="f4b92adf-7c78-4104-bf1e-27a87c0156b3" xsi:nil="true"/>
    <d302ddf8e6ea4f108391d4f1c2f56cf7 xmlns="f4b92adf-7c78-4104-bf1e-27a87c0156b3">
      <Terms xmlns="http://schemas.microsoft.com/office/infopath/2007/PartnerControls">
        <TermInfo xmlns="http://schemas.microsoft.com/office/infopath/2007/PartnerControls">
          <TermName xmlns="http://schemas.microsoft.com/office/infopath/2007/PartnerControls">New Connections</TermName>
          <TermId xmlns="http://schemas.microsoft.com/office/infopath/2007/PartnerControls">d8a2afc1-06b0-4335-924f-4bdf7e976146</TermId>
        </TermInfo>
        <TermInfo xmlns="http://schemas.microsoft.com/office/infopath/2007/PartnerControls">
          <TermName xmlns="http://schemas.microsoft.com/office/infopath/2007/PartnerControls">Falls Road Limited</TermName>
          <TermId xmlns="http://schemas.microsoft.com/office/infopath/2007/PartnerControls">5bb3e909-dc26-465c-9bca-a3ce6ad3564c</TermId>
        </TermInfo>
        <TermInfo xmlns="http://schemas.microsoft.com/office/infopath/2007/PartnerControls">
          <TermName xmlns="http://schemas.microsoft.com/office/infopath/2007/PartnerControls">Freightlink Limited</TermName>
          <TermId xmlns="http://schemas.microsoft.com/office/infopath/2007/PartnerControls">6d6ed905-978c-42b9-9589-d5e39acc526f</TermId>
        </TermInfo>
      </Terms>
    </d302ddf8e6ea4f108391d4f1c2f56cf7>
    <la339ecdba6246879d3eaf20f4e4d416 xmlns="f4b92adf-7c78-4104-bf1e-27a87c0156b3">
      <Terms xmlns="http://schemas.microsoft.com/office/infopath/2007/PartnerControls"/>
    </la339ecdba6246879d3eaf20f4e4d416>
    <g82a2124723d41cb9559ca3374a7e8b3 xmlns="f4b92adf-7c78-4104-bf1e-27a87c0156b3">
      <Terms xmlns="http://schemas.microsoft.com/office/infopath/2007/PartnerControls">
        <TermInfo xmlns="http://schemas.microsoft.com/office/infopath/2007/PartnerControls">
          <TermName xmlns="http://schemas.microsoft.com/office/infopath/2007/PartnerControls">Network Optimisation</TermName>
          <TermId xmlns="http://schemas.microsoft.com/office/infopath/2007/PartnerControls">a617884d-852b-46cd-ab03-0ab0a2c2145a</TermId>
        </TermInfo>
        <TermInfo xmlns="http://schemas.microsoft.com/office/infopath/2007/PartnerControls">
          <TermName xmlns="http://schemas.microsoft.com/office/infopath/2007/PartnerControls">Walking And Cycling</TermName>
          <TermId xmlns="http://schemas.microsoft.com/office/infopath/2007/PartnerControls">cb7a9c79-bea9-442a-895f-862396094a0f</TermId>
        </TermInfo>
        <TermInfo xmlns="http://schemas.microsoft.com/office/infopath/2007/PartnerControls">
          <TermName xmlns="http://schemas.microsoft.com/office/infopath/2007/PartnerControls">ENG60397100: Brigham Creek Road</TermName>
          <TermId xmlns="http://schemas.microsoft.com/office/infopath/2007/PartnerControls">b9b62ccc-915f-40ec-b2c7-7d2da68ba3f0</TermId>
        </TermInfo>
        <TermInfo xmlns="http://schemas.microsoft.com/office/infopath/2007/PartnerControls">
          <TermName xmlns="http://schemas.microsoft.com/office/infopath/2007/PartnerControls">Bus Priority Programme</TermName>
          <TermId xmlns="http://schemas.microsoft.com/office/infopath/2007/PartnerControls">d4e961b0-d04d-40df-94f9-7eb862554191</TermId>
        </TermInfo>
        <TermInfo xmlns="http://schemas.microsoft.com/office/infopath/2007/PartnerControls">
          <TermName xmlns="http://schemas.microsoft.com/office/infopath/2007/PartnerControls">Drury South Programme</TermName>
          <TermId xmlns="http://schemas.microsoft.com/office/infopath/2007/PartnerControls">cdd8335d-8340-42b9-9a23-d1b8be5d9064</TermId>
        </TermInfo>
      </Terms>
    </g82a2124723d41cb9559ca3374a7e8b3>
    <k8d0e6e895214ba09efc15d74736b462 xmlns="f4b92adf-7c78-4104-bf1e-27a87c0156b3">
      <Terms xmlns="http://schemas.microsoft.com/office/infopath/2007/PartnerControls">
        <TermInfo xmlns="http://schemas.microsoft.com/office/infopath/2007/PartnerControls">
          <TermName xmlns="http://schemas.microsoft.com/office/infopath/2007/PartnerControls">Manukau Train Station</TermName>
          <TermId xmlns="http://schemas.microsoft.com/office/infopath/2007/PartnerControls">d0e37113-bad1-466d-875d-0fedc97099c7</TermId>
        </TermInfo>
      </Terms>
    </k8d0e6e895214ba09efc15d74736b462>
  </documentManagement>
</p:properties>
</file>

<file path=customXml/itemProps1.xml><?xml version="1.0" encoding="utf-8"?>
<ds:datastoreItem xmlns:ds="http://schemas.openxmlformats.org/officeDocument/2006/customXml" ds:itemID="{78DD1037-9F30-4894-938B-3C8630B1C34B}">
  <ds:schemaRefs>
    <ds:schemaRef ds:uri="http://schemas.microsoft.com/sharepoint/v3/contenttype/forms"/>
  </ds:schemaRefs>
</ds:datastoreItem>
</file>

<file path=customXml/itemProps2.xml><?xml version="1.0" encoding="utf-8"?>
<ds:datastoreItem xmlns:ds="http://schemas.openxmlformats.org/officeDocument/2006/customXml" ds:itemID="{4741E98A-F94F-447E-991E-857116E593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b92adf-7c78-4104-bf1e-27a87c0156b3"/>
    <ds:schemaRef ds:uri="6656246e-9127-47dc-83ec-dd09249a5dc8"/>
    <ds:schemaRef ds:uri="8c82a1b2-918d-4e18-ac71-bc0759543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EAEC81-A465-4D2B-8A00-B5B7CA2813C3}">
  <ds:schemaRefs>
    <ds:schemaRef ds:uri="http://purl.org/dc/terms/"/>
    <ds:schemaRef ds:uri="http://purl.org/dc/dcmitype/"/>
    <ds:schemaRef ds:uri="f4b92adf-7c78-4104-bf1e-27a87c0156b3"/>
    <ds:schemaRef ds:uri="http://purl.org/dc/elements/1.1/"/>
    <ds:schemaRef ds:uri="http://schemas.microsoft.com/office/2006/documentManagement/types"/>
    <ds:schemaRef ds:uri="8c82a1b2-918d-4e18-ac71-bc0759543f0e"/>
    <ds:schemaRef ds:uri="http://schemas.microsoft.com/office/infopath/2007/PartnerControls"/>
    <ds:schemaRef ds:uri="http://www.w3.org/XML/1998/namespace"/>
    <ds:schemaRef ds:uri="http://schemas.openxmlformats.org/package/2006/metadata/core-properties"/>
    <ds:schemaRef ds:uri="6656246e-9127-47dc-83ec-dd09249a5dc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How to use</vt:lpstr>
      <vt:lpstr>Lookup</vt:lpstr>
      <vt:lpstr>INPUTS</vt:lpstr>
      <vt:lpstr>OUTPUTS</vt:lpstr>
      <vt:lpstr>Route Priority</vt:lpstr>
      <vt:lpstr>Proxy BCR priority</vt:lpstr>
      <vt:lpstr>Demand priority</vt:lpstr>
      <vt:lpstr>Sensitivity</vt:lpstr>
      <vt:lpstr>Sensitivity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EllaDavi1</dc:creator>
  <cp:keywords/>
  <dc:description/>
  <cp:lastModifiedBy>Jon Kearins (AT)</cp:lastModifiedBy>
  <cp:revision/>
  <dcterms:created xsi:type="dcterms:W3CDTF">2021-08-11T03:16:21Z</dcterms:created>
  <dcterms:modified xsi:type="dcterms:W3CDTF">2022-05-04T00:31:04Z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0x010100732A2E6D9CDEB04F8C5ECC01F0DD3F98</vt:lpwstr>
  </property>
  <property fmtid="{D5CDD505-2E9C-101B-9397-08002B2CF9AE}" pid="3" name="D1 Asset Type">
    <vt:lpwstr>24;#Cycleway|7294b8f3-2953-4e67-8e10-db1c1bb1fe81;#18;#Bridge|298775f4-0b56-41a7-b0cd-3177933d9cb7;#6;#Footpath|6d883187-4c77-4276-9b8e-4b351fe0d6e2;#23;#Grassed Area|97f9eea1-0ef3-42be-93e1-f81fba11a76b;#4;#Kerb and Channel|1616e48e-1e57-423a-b3a2-6d38f3bed856</vt:lpwstr>
  </property>
  <property fmtid="{D5CDD505-2E9C-101B-9397-08002B2CF9AE}" pid="4" name="D1 Document Category">
    <vt:lpwstr/>
  </property>
  <property fmtid="{D5CDD505-2E9C-101B-9397-08002B2CF9AE}" pid="5" name="D1 Instrument">
    <vt:lpwstr/>
  </property>
  <property fmtid="{D5CDD505-2E9C-101B-9397-08002B2CF9AE}" pid="6" name="D1 Programme Project">
    <vt:lpwstr>39;#Network Optimisation|a617884d-852b-46cd-ab03-0ab0a2c2145a;#20;#Walking And Cycling|cb7a9c79-bea9-442a-895f-862396094a0f;#236;#ENG60397100: Brigham Creek Road|b9b62ccc-915f-40ec-b2c7-7d2da68ba3f0;#41;#Bus Priority Programme|d4e961b0-d04d-40df-94f9-7eb862554191;#113;#Drury South Programme|cdd8335d-8340-42b9-9a23-d1b8be5d9064</vt:lpwstr>
  </property>
  <property fmtid="{D5CDD505-2E9C-101B-9397-08002B2CF9AE}" pid="7" name="D1 Asset Public Transport Network">
    <vt:lpwstr>7;#Manukau Train Station|d0e37113-bad1-466d-875d-0fedc97099c7</vt:lpwstr>
  </property>
  <property fmtid="{D5CDD505-2E9C-101B-9397-08002B2CF9AE}" pid="8" name="D1 Asset Road Network">
    <vt:lpwstr/>
  </property>
  <property fmtid="{D5CDD505-2E9C-101B-9397-08002B2CF9AE}" pid="9" name="D1 Supplier">
    <vt:lpwstr>93;#New Connections|d8a2afc1-06b0-4335-924f-4bdf7e976146;#94;#Falls Road Limited|5bb3e909-dc26-465c-9bca-a3ce6ad3564c;#135;#Freightlink Limited|6d6ed905-978c-42b9-9589-d5e39acc526f</vt:lpwstr>
  </property>
  <property fmtid="{D5CDD505-2E9C-101B-9397-08002B2CF9AE}" pid="10" name="D1 Asset Property and Facilities">
    <vt:lpwstr/>
  </property>
  <property fmtid="{D5CDD505-2E9C-101B-9397-08002B2CF9AE}" pid="11" name="D1 Subject">
    <vt:lpwstr/>
  </property>
  <property fmtid="{D5CDD505-2E9C-101B-9397-08002B2CF9AE}" pid="12" name="D1 Financial Year">
    <vt:lpwstr/>
  </property>
  <property fmtid="{D5CDD505-2E9C-101B-9397-08002B2CF9AE}" pid="13" name="D1 Financial Period">
    <vt:lpwstr/>
  </property>
</Properties>
</file>